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3"/>
  </bookViews>
  <sheets>
    <sheet name="74+5%" sheetId="1" r:id="rId1"/>
    <sheet name="энергосбер74" sheetId="2" r:id="rId2"/>
    <sheet name="74+5% (л.кл+двор)" sheetId="3" r:id="rId3"/>
    <sheet name="74+5% (л.кл+двор) (2)" sheetId="4" r:id="rId4"/>
    <sheet name="энергосбер74 (2)" sheetId="5" r:id="rId5"/>
  </sheets>
  <definedNames>
    <definedName name="_xlnm.Print_Area" localSheetId="0">'74+5%'!$A$1:$F$72</definedName>
    <definedName name="_xlnm.Print_Area" localSheetId="2">'74+5% (л.кл+двор)'!$A$1:$F$72</definedName>
    <definedName name="_xlnm.Print_Area" localSheetId="3">'74+5% (л.кл+двор) (2)'!$A$1:$F$69</definedName>
    <definedName name="_xlnm.Print_Area" localSheetId="1">энергосбер74!$A$1:$D$28</definedName>
    <definedName name="_xlnm.Print_Area" localSheetId="4">'энергосбер74 (2)'!$A$1:$D$28</definedName>
  </definedNames>
  <calcPr calcId="125725"/>
</workbook>
</file>

<file path=xl/calcChain.xml><?xml version="1.0" encoding="utf-8"?>
<calcChain xmlns="http://schemas.openxmlformats.org/spreadsheetml/2006/main">
  <c r="E24" i="5"/>
  <c r="F24" s="1"/>
  <c r="C24"/>
  <c r="C21"/>
  <c r="C20"/>
  <c r="C19"/>
  <c r="C18"/>
  <c r="C17"/>
  <c r="C43"/>
  <c r="B38"/>
  <c r="B39" s="1"/>
  <c r="B35"/>
  <c r="E22"/>
  <c r="C22" s="1"/>
  <c r="C23"/>
  <c r="H28" i="3"/>
  <c r="H19"/>
  <c r="H29"/>
  <c r="K29" s="1"/>
  <c r="H20"/>
  <c r="K20" s="1"/>
  <c r="E61"/>
  <c r="D6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C8"/>
  <c r="D56" i="1"/>
  <c r="D57" s="1"/>
  <c r="D53"/>
  <c r="D52"/>
  <c r="D51"/>
  <c r="D50"/>
  <c r="D49"/>
  <c r="D48"/>
  <c r="D47"/>
  <c r="D20"/>
  <c r="D19"/>
  <c r="D18"/>
  <c r="D17"/>
  <c r="D16"/>
  <c r="D15"/>
  <c r="D61"/>
  <c r="E61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E56"/>
  <c r="E22" i="2"/>
  <c r="C21"/>
  <c r="C20"/>
  <c r="C19"/>
  <c r="C17"/>
  <c r="C43"/>
  <c r="B38"/>
  <c r="B39" s="1"/>
  <c r="B35"/>
  <c r="C22"/>
  <c r="C18"/>
  <c r="D55" i="1"/>
  <c r="E55" s="1"/>
  <c r="D54"/>
  <c r="E54" s="1"/>
  <c r="E53"/>
  <c r="E52"/>
  <c r="E51"/>
  <c r="E50"/>
  <c r="E49"/>
  <c r="E48"/>
  <c r="E47"/>
  <c r="E46"/>
  <c r="E45"/>
  <c r="E44"/>
  <c r="E43"/>
  <c r="E39"/>
  <c r="E38"/>
  <c r="E37"/>
  <c r="E36"/>
  <c r="E35"/>
  <c r="E34"/>
  <c r="E33"/>
  <c r="E32"/>
  <c r="E31"/>
  <c r="E30"/>
  <c r="E29"/>
  <c r="E28"/>
  <c r="E24"/>
  <c r="E23"/>
  <c r="E22"/>
  <c r="E21"/>
  <c r="E20"/>
  <c r="E19"/>
  <c r="E17"/>
  <c r="E16"/>
  <c r="C8"/>
  <c r="D42" i="5" l="1"/>
  <c r="D41"/>
  <c r="K23" i="3"/>
  <c r="K21"/>
  <c r="K25" s="1"/>
  <c r="K24"/>
  <c r="K22"/>
  <c r="K31"/>
  <c r="K33"/>
  <c r="K32"/>
  <c r="L32" s="1"/>
  <c r="K30"/>
  <c r="K34" s="1"/>
  <c r="D57"/>
  <c r="C23" i="2"/>
  <c r="C24" s="1"/>
  <c r="D42"/>
  <c r="D41"/>
  <c r="D58" i="1"/>
  <c r="E57"/>
  <c r="E15"/>
  <c r="E18"/>
  <c r="E25"/>
  <c r="E26"/>
  <c r="E27"/>
  <c r="E40"/>
  <c r="E41"/>
  <c r="E42"/>
  <c r="K26" i="3" l="1"/>
  <c r="K19" s="1"/>
  <c r="L19" s="1"/>
  <c r="K35"/>
  <c r="K36" s="1"/>
  <c r="K28" s="1"/>
  <c r="L28" s="1"/>
  <c r="E57"/>
  <c r="D58"/>
  <c r="D59" i="1"/>
  <c r="E59" s="1"/>
  <c r="E58"/>
  <c r="C64" s="1"/>
  <c r="E64" s="1"/>
  <c r="E58" i="3" l="1"/>
  <c r="C64" s="1"/>
  <c r="E64" s="1"/>
  <c r="D59"/>
  <c r="E59" s="1"/>
</calcChain>
</file>

<file path=xl/sharedStrings.xml><?xml version="1.0" encoding="utf-8"?>
<sst xmlns="http://schemas.openxmlformats.org/spreadsheetml/2006/main" count="532" uniqueCount="189">
  <si>
    <t>Приложение № 3</t>
  </si>
  <si>
    <t>к Договору управления многоквартирным домом____</t>
  </si>
  <si>
    <t>Характеристика МКД</t>
  </si>
  <si>
    <t>м-н Горский,74</t>
  </si>
  <si>
    <t>Количество подъездов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</si>
  <si>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</si>
  <si>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</si>
  <si>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</si>
  <si>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</si>
  <si>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</si>
  <si>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</si>
  <si>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</si>
  <si>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</si>
  <si>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Раздел 1.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</si>
  <si>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</si>
  <si>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</si>
  <si>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</si>
  <si>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</si>
  <si>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</si>
  <si>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r>
      <rPr>
        <b/>
        <sz val="11"/>
        <color indexed="8"/>
        <rFont val="Times New Roman"/>
        <family val="1"/>
        <charset val="204"/>
      </rPr>
      <t>120 шт. - лампы ЛОН
30 шт. - выключатели</t>
    </r>
    <r>
      <rPr>
        <sz val="11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</si>
  <si>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</si>
  <si>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</si>
  <si>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</si>
  <si>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3.</t>
  </si>
  <si>
    <t>Аварийно-ремонтное обслуживание</t>
  </si>
  <si>
    <t>круглосуточно на системах водоснабжения, водоотведения, теплоснабжения и энергообеспечения</t>
  </si>
  <si>
    <t>4.</t>
  </si>
  <si>
    <t>Санитарное содержание лестничных клеток</t>
  </si>
  <si>
    <t>4.1.</t>
  </si>
  <si>
    <t>влажная уборка (подметание) лестничных площадок и маршей</t>
  </si>
  <si>
    <t>первый этаж - 5 раз в неделю
остальные этажи 2 раза в месяц  подметание</t>
  </si>
  <si>
    <t>4.2.</t>
  </si>
  <si>
    <t>мытье лестничных площадок и маршей</t>
  </si>
  <si>
    <t>2 раза в месяц мытье</t>
  </si>
  <si>
    <t>4.3.</t>
  </si>
  <si>
    <t>- мытье полов кабины лифтов
- подметание полов кабины лифтов</t>
  </si>
  <si>
    <t>- 2 раза в неделю
- 2 раза в неделю</t>
  </si>
  <si>
    <t>4.4.</t>
  </si>
  <si>
    <t>мытье стен, дверей, оконных ограждений, перил, чердачных лестниц, плафонов, почтовых ящиков, шкафов для электросчётчиков и слаботочных устройств, обметание пыли с потолков</t>
  </si>
  <si>
    <t>1 раз в год</t>
  </si>
  <si>
    <t>4.5.</t>
  </si>
  <si>
    <t>влажная протирка стен, дверей, потолков и плафонов кабины лифта, подоконников, почтовых ящиков</t>
  </si>
  <si>
    <t>1 раз в месяц</t>
  </si>
  <si>
    <t>4.6.</t>
  </si>
  <si>
    <t xml:space="preserve">влажная протирка отопительных приборов </t>
  </si>
  <si>
    <t>2 раза в год</t>
  </si>
  <si>
    <t>4.7.</t>
  </si>
  <si>
    <t>мытье окон</t>
  </si>
  <si>
    <t>4.8.</t>
  </si>
  <si>
    <t>уборка крыльца</t>
  </si>
  <si>
    <t>1 раз в неделю</t>
  </si>
  <si>
    <t>5.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</si>
  <si>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</si>
  <si>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</si>
  <si>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</si>
  <si>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</si>
  <si>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</si>
  <si>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</si>
  <si>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</si>
  <si>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</si>
  <si>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</si>
  <si>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</si>
  <si>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</si>
  <si>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</si>
  <si>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</si>
  <si>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</si>
  <si>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</si>
  <si>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</si>
  <si>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</si>
  <si>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</si>
  <si>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</si>
  <si>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 раз в неделю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</si>
  <si>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</si>
  <si>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</si>
  <si>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</si>
  <si>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</si>
  <si>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</si>
  <si>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</si>
  <si>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</si>
  <si>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</si>
  <si>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</si>
  <si>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</si>
  <si>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</si>
  <si>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</si>
  <si>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</si>
  <si>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</si>
  <si>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</si>
  <si>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</si>
  <si>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</si>
  <si>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</si>
  <si>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</si>
  <si>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</si>
  <si>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</si>
  <si>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</si>
  <si>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5.2.6.</t>
  </si>
  <si>
    <t xml:space="preserve">уборка приямков </t>
  </si>
  <si>
    <t>8 раз в год</t>
  </si>
  <si>
    <t>5.2.7.</t>
  </si>
  <si>
    <t>5.2.8.</t>
  </si>
  <si>
    <t>озеленение, кошение газонов</t>
  </si>
  <si>
    <t>в течении летнего периода</t>
  </si>
  <si>
    <t>6.</t>
  </si>
  <si>
    <r>
      <t xml:space="preserve">Автоуслуги по вывозу снега </t>
    </r>
    <r>
      <rPr>
        <sz val="11"/>
        <color indexed="8"/>
        <rFont val="Times New Roman"/>
        <family val="1"/>
        <charset val="204"/>
      </rPr>
      <t>(с последующей корректировкой за отчетный период)</t>
    </r>
  </si>
  <si>
    <t>за фактически вывезенный объем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</si>
  <si>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</si>
  <si>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</si>
  <si>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</si>
  <si>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</si>
  <si>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</si>
  <si>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</si>
  <si>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</si>
  <si>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</si>
  <si>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</si>
  <si>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</si>
  <si>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</si>
  <si>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</si>
  <si>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</si>
  <si>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>Техническое обслуживание ИТП</t>
    </r>
    <r>
      <rPr>
        <sz val="11"/>
        <color indexed="8"/>
        <rFont val="Times New Roman"/>
        <family val="1"/>
        <charset val="204"/>
      </rPr>
      <t xml:space="preserve"> (не автоматизированный)</t>
    </r>
  </si>
  <si>
    <t>ежемесячно</t>
  </si>
  <si>
    <t>12.</t>
  </si>
  <si>
    <r>
      <t xml:space="preserve">Техническое обслуживание ОПУ </t>
    </r>
    <r>
      <rPr>
        <sz val="11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</si>
  <si>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Было 68073,60</t>
  </si>
  <si>
    <t>13.</t>
  </si>
  <si>
    <t>Профилактические испытания электроустановок</t>
  </si>
  <si>
    <t>14.</t>
  </si>
  <si>
    <t>Замена трансформаторов тока измерительного комплекса учета электроэнергии (2 комплекта)</t>
  </si>
  <si>
    <t>ТЕКУЩЕЕ СОДЕРЖАНИЕ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</si>
  <si>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</si>
  <si>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</si>
  <si>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Текущее содержание и управленческие расходы</t>
  </si>
  <si>
    <t>Раздел 2. Дополнительные услуги и работы</t>
  </si>
  <si>
    <t>Сбор денежных средств для формирования резерва на текущий ремонт</t>
  </si>
  <si>
    <t xml:space="preserve">% увеличения </t>
  </si>
  <si>
    <t>Директор ООО "КЖЭК "Горский"</t>
  </si>
  <si>
    <t>С.В. Занина</t>
  </si>
  <si>
    <t>Экономист</t>
  </si>
  <si>
    <t>М.А. Иващук</t>
  </si>
  <si>
    <t>Перечень и периодичность 
работ и услуг по содержанию и ремонту общего имущества 
многоквартирного дома № 74 м-на Горский 
с 01.01.2017 по 31.12.2017 гг.</t>
  </si>
  <si>
    <r>
      <rPr>
        <u/>
        <sz val="11"/>
        <color theme="1"/>
        <rFont val="Times New Roman"/>
        <family val="1"/>
        <charset val="204"/>
      </rPr>
      <t>Примечание:</t>
    </r>
    <r>
      <rPr>
        <sz val="11"/>
        <color theme="1"/>
        <rFont val="Times New Roman"/>
        <family val="1"/>
        <charset val="204"/>
      </rPr>
      <t xml:space="preserve"> В случае непринятия решения о перечне, периодичность и стоимости работ и услуг по содержанию и ремонту общего имущества МКД, не проведению общего собрания по данному вопросу управляющая организация продолжит выполнение своих договорных обязательств по договору управления на тех условиях, которые указаны в данном перечне и будет производить начисления в соответствии с новым тарифом с 01.01.2017 года.</t>
    </r>
  </si>
  <si>
    <r>
      <t>на основании договора со специализированной организацией
проводится 1 раз в 3 года</t>
    </r>
    <r>
      <rPr>
        <b/>
        <sz val="11"/>
        <color indexed="8"/>
        <rFont val="Times New Roman"/>
        <family val="1"/>
        <charset val="204"/>
      </rPr>
      <t xml:space="preserve">
проведено в 2016году</t>
    </r>
  </si>
  <si>
    <t>проведено в 2016 году</t>
  </si>
  <si>
    <t>Проведение мероприятий по энергосбережению</t>
  </si>
  <si>
    <t>15.</t>
  </si>
  <si>
    <t>разово</t>
  </si>
  <si>
    <t xml:space="preserve">                        Утверждаю:</t>
  </si>
  <si>
    <t xml:space="preserve"> Директор ООО «КЖЭК «Горский»</t>
  </si>
  <si>
    <t>___________________С.В. Занина</t>
  </si>
  <si>
    <t>14 ноября 2016 года</t>
  </si>
  <si>
    <t>КАЛЬКУЛЯЦИЯ</t>
  </si>
  <si>
    <t>стоимости работ и  услуг по проведению мероприятий по энергосбережению</t>
  </si>
  <si>
    <t>Наименование</t>
  </si>
  <si>
    <t>Сумма</t>
  </si>
  <si>
    <t>Светильник вартон 8 Вт с датчиком - 11 шт в 1 подъезде</t>
  </si>
  <si>
    <t>Светильник вартон 8 Вт с датчиком - 11 шт во 2 подъезде</t>
  </si>
  <si>
    <t>Накладные расходы, 10%</t>
  </si>
  <si>
    <t>ВСЕГО</t>
  </si>
  <si>
    <t>без НДС т.к. в тек.содерж</t>
  </si>
  <si>
    <t>стоимость куба</t>
  </si>
  <si>
    <t>заложено на КГО на 2 дома на полгода</t>
  </si>
  <si>
    <t>кубов на 2 дома на 6 мес.</t>
  </si>
  <si>
    <t>куба на 2 дома в месяц</t>
  </si>
  <si>
    <t>53 дом</t>
  </si>
  <si>
    <t>72 дом</t>
  </si>
  <si>
    <t>ул. Горский м-н, дом 74</t>
  </si>
  <si>
    <t>Лампа LED ASD 11 Вт - 8 шт тех.этаж</t>
  </si>
  <si>
    <t>Лампа LED ASD 11 Вт - 28 шт подвал</t>
  </si>
  <si>
    <t>Светильник СДО 70 Вт уличный  - 2 шт</t>
  </si>
  <si>
    <t>ФОТ электрик, 2 чел (59 часов)</t>
  </si>
  <si>
    <t>Площадь МОП</t>
  </si>
  <si>
    <t>все позиции проиндексированы на 5%
исключены замена трансформаторов и проф. испытания
добавлены мероприятия по энергосбережению</t>
  </si>
  <si>
    <t>норм. численность</t>
  </si>
  <si>
    <t>Уборка лестничных клеток</t>
  </si>
  <si>
    <t>фот (на оклад 10 т.р.)</t>
  </si>
  <si>
    <t>ФОТ</t>
  </si>
  <si>
    <t>Страховые взносы, 30,2%</t>
  </si>
  <si>
    <t>Материалы, инвентарь, 10%</t>
  </si>
  <si>
    <t>Охрана труда, 0,2%</t>
  </si>
  <si>
    <t>Общеэксплуатационные расходы 7,2%</t>
  </si>
  <si>
    <t>Всего по себестоимости</t>
  </si>
  <si>
    <t>Рентабельность, 6%</t>
  </si>
  <si>
    <t>Уборка дворовой территории</t>
  </si>
  <si>
    <t>фот (на оклад 14 т.р.)</t>
  </si>
  <si>
    <t>Благоустройство, озеленение, кошение газонов</t>
  </si>
  <si>
    <t>Транспортные расходы, 5% от ФОТ</t>
  </si>
  <si>
    <t>Общеэксплуатационные  расходы 7,2%</t>
  </si>
  <si>
    <t>Горский 74</t>
  </si>
  <si>
    <t>не стала менять сумму</t>
  </si>
  <si>
    <t>ВСЕГО (НДС 18% в том числе)</t>
  </si>
  <si>
    <t>Перечень и периодичность 
работ и услуг по содержанию и ремонту общего имущества 
многоквартирного дома № 74 м-на Горский 
с 01.01.2017 по 31.12.2018 гг.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</si>
</sst>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43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9" borderId="4" applyNumberFormat="0" applyAlignment="0" applyProtection="0"/>
    <xf numFmtId="0" fontId="26" fillId="22" borderId="5" applyNumberFormat="0" applyAlignment="0" applyProtection="0"/>
    <xf numFmtId="0" fontId="27" fillId="22" borderId="4" applyNumberFormat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23" borderId="10" applyNumberFormat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23" fillId="0" borderId="0"/>
    <xf numFmtId="0" fontId="35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25" borderId="11" applyNumberFormat="0" applyFon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</cellStyleXfs>
  <cellXfs count="11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 indent="16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2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/>
    <xf numFmtId="0" fontId="0" fillId="2" borderId="0" xfId="0" applyFont="1" applyFill="1"/>
    <xf numFmtId="4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4" fontId="7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1" fillId="0" borderId="0" xfId="0" applyFont="1" applyAlignment="1">
      <alignment wrapText="1"/>
    </xf>
    <xf numFmtId="4" fontId="2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6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view="pageBreakPreview" topLeftCell="A19" zoomScaleSheetLayoutView="100" workbookViewId="0">
      <selection activeCell="D28" sqref="D28"/>
    </sheetView>
  </sheetViews>
  <sheetFormatPr defaultRowHeight="15"/>
  <cols>
    <col min="1" max="1" width="7" style="1" customWidth="1"/>
    <col min="2" max="2" width="44.85546875" style="58" customWidth="1"/>
    <col min="3" max="3" width="69.28515625" style="59" customWidth="1"/>
    <col min="4" max="4" width="18.28515625" style="52" customWidth="1"/>
    <col min="5" max="5" width="18.28515625" style="53" customWidth="1"/>
    <col min="6" max="6" width="11.42578125" style="3" hidden="1" customWidth="1"/>
    <col min="7" max="16384" width="9.140625" style="3"/>
  </cols>
  <sheetData>
    <row r="1" spans="1:8" ht="42.75">
      <c r="C1" s="82" t="s">
        <v>169</v>
      </c>
    </row>
    <row r="2" spans="1:8">
      <c r="B2" s="2"/>
      <c r="C2" s="94" t="s">
        <v>0</v>
      </c>
      <c r="D2" s="94"/>
      <c r="E2" s="94"/>
    </row>
    <row r="3" spans="1:8">
      <c r="B3" s="2"/>
      <c r="C3" s="94" t="s">
        <v>1</v>
      </c>
      <c r="D3" s="94"/>
      <c r="E3" s="94"/>
    </row>
    <row r="4" spans="1:8">
      <c r="B4" s="2"/>
      <c r="C4" s="4"/>
      <c r="D4" s="5"/>
      <c r="E4" s="5"/>
    </row>
    <row r="5" spans="1:8" ht="105.75" customHeight="1">
      <c r="A5" s="95" t="s">
        <v>137</v>
      </c>
      <c r="B5" s="95"/>
      <c r="C5" s="95"/>
      <c r="D5" s="95"/>
      <c r="E5" s="96"/>
    </row>
    <row r="6" spans="1:8">
      <c r="A6" s="92" t="s">
        <v>2</v>
      </c>
      <c r="B6" s="92"/>
      <c r="C6" s="97" t="s">
        <v>3</v>
      </c>
      <c r="D6" s="97"/>
      <c r="E6" s="97"/>
    </row>
    <row r="7" spans="1:8">
      <c r="A7" s="92" t="s">
        <v>4</v>
      </c>
      <c r="B7" s="92"/>
      <c r="C7" s="93">
        <v>2</v>
      </c>
      <c r="D7" s="93"/>
      <c r="E7" s="93"/>
    </row>
    <row r="8" spans="1:8">
      <c r="A8" s="93" t="s">
        <v>5</v>
      </c>
      <c r="B8" s="93"/>
      <c r="C8" s="100">
        <f>C10+C9</f>
        <v>8584.9</v>
      </c>
      <c r="D8" s="100"/>
      <c r="E8" s="100"/>
    </row>
    <row r="9" spans="1:8">
      <c r="A9" s="93" t="s">
        <v>6</v>
      </c>
      <c r="B9" s="93"/>
      <c r="C9" s="100">
        <v>8027.2</v>
      </c>
      <c r="D9" s="100"/>
      <c r="E9" s="100"/>
    </row>
    <row r="10" spans="1:8">
      <c r="A10" s="93" t="s">
        <v>7</v>
      </c>
      <c r="B10" s="93"/>
      <c r="C10" s="100">
        <v>557.70000000000005</v>
      </c>
      <c r="D10" s="100"/>
      <c r="E10" s="100"/>
    </row>
    <row r="11" spans="1:8">
      <c r="A11" s="93" t="s">
        <v>168</v>
      </c>
      <c r="B11" s="93"/>
      <c r="C11" s="100">
        <v>940.5</v>
      </c>
      <c r="D11" s="100"/>
      <c r="E11" s="100"/>
    </row>
    <row r="12" spans="1:8">
      <c r="A12" s="93" t="s">
        <v>8</v>
      </c>
      <c r="B12" s="101"/>
      <c r="C12" s="100">
        <v>3417.1</v>
      </c>
      <c r="D12" s="100"/>
      <c r="E12" s="100"/>
    </row>
    <row r="13" spans="1:8" ht="60">
      <c r="A13" s="102" t="s">
        <v>9</v>
      </c>
      <c r="B13" s="102"/>
      <c r="C13" s="6" t="s">
        <v>10</v>
      </c>
      <c r="D13" s="7" t="s">
        <v>11</v>
      </c>
      <c r="E13" s="7" t="s">
        <v>12</v>
      </c>
    </row>
    <row r="14" spans="1:8">
      <c r="A14" s="98" t="s">
        <v>13</v>
      </c>
      <c r="B14" s="98"/>
      <c r="C14" s="98"/>
      <c r="D14" s="98"/>
      <c r="E14" s="98"/>
    </row>
    <row r="15" spans="1:8" ht="112.5">
      <c r="A15" s="8" t="s">
        <v>14</v>
      </c>
      <c r="B15" s="9" t="s">
        <v>15</v>
      </c>
      <c r="C15" s="10" t="s">
        <v>16</v>
      </c>
      <c r="D15" s="11">
        <f>(((1.063*159112.10521926)*1.07)*1.09)*1.05</f>
        <v>207126.68818926843</v>
      </c>
      <c r="E15" s="12">
        <f>D15/12/$C$8</f>
        <v>2.0105717421409341</v>
      </c>
      <c r="G15" s="3">
        <v>1.07</v>
      </c>
      <c r="H15" s="3">
        <v>1.0900000000000001</v>
      </c>
    </row>
    <row r="16" spans="1:8" ht="104.25">
      <c r="A16" s="13" t="s">
        <v>17</v>
      </c>
      <c r="B16" s="14" t="s">
        <v>18</v>
      </c>
      <c r="C16" s="15" t="s">
        <v>19</v>
      </c>
      <c r="D16" s="16">
        <f>(120*26+30*39)*1.05</f>
        <v>4504.5</v>
      </c>
      <c r="E16" s="17">
        <f>D16/12/$C$8</f>
        <v>4.3725028829689337E-2</v>
      </c>
      <c r="G16" s="3">
        <v>1.05</v>
      </c>
    </row>
    <row r="17" spans="1:6" ht="90">
      <c r="A17" s="8" t="s">
        <v>20</v>
      </c>
      <c r="B17" s="9" t="s">
        <v>21</v>
      </c>
      <c r="C17" s="10" t="s">
        <v>22</v>
      </c>
      <c r="D17" s="11">
        <f>(((1.063*100421.384780739)*1.07)*1.09)*1.05</f>
        <v>130725.11877303038</v>
      </c>
      <c r="E17" s="12">
        <f>D17/12/$C$8</f>
        <v>1.2689442972838976</v>
      </c>
    </row>
    <row r="18" spans="1:6" ht="30">
      <c r="A18" s="8" t="s">
        <v>23</v>
      </c>
      <c r="B18" s="9" t="s">
        <v>24</v>
      </c>
      <c r="C18" s="18" t="s">
        <v>25</v>
      </c>
      <c r="D18" s="19">
        <f>(((1.063*100384.21)*1.07)*1.09)*1.05</f>
        <v>130676.72591688645</v>
      </c>
      <c r="E18" s="12">
        <f t="shared" ref="E18:E56" si="0">D18/12/$C$8</f>
        <v>1.26847454946948</v>
      </c>
    </row>
    <row r="19" spans="1:6" ht="28.5">
      <c r="A19" s="20" t="s">
        <v>26</v>
      </c>
      <c r="B19" s="21" t="s">
        <v>27</v>
      </c>
      <c r="C19" s="22"/>
      <c r="D19" s="19">
        <f>(((1.063*111989.95)*1.07)*1.09)*1.05</f>
        <v>145784.68069426276</v>
      </c>
      <c r="E19" s="12">
        <f t="shared" si="0"/>
        <v>1.4151269544419345</v>
      </c>
    </row>
    <row r="20" spans="1:6" ht="45" customHeight="1">
      <c r="A20" s="8" t="s">
        <v>28</v>
      </c>
      <c r="B20" s="14" t="s">
        <v>29</v>
      </c>
      <c r="C20" s="23" t="s">
        <v>30</v>
      </c>
      <c r="D20" s="24">
        <f>(((1.063*99770.8649872424)*1.07)*1.09)*1.05</f>
        <v>129878.29438941204</v>
      </c>
      <c r="E20" s="17">
        <f t="shared" si="0"/>
        <v>1.2607242016933999</v>
      </c>
    </row>
    <row r="21" spans="1:6">
      <c r="A21" s="8" t="s">
        <v>31</v>
      </c>
      <c r="B21" s="14" t="s">
        <v>32</v>
      </c>
      <c r="C21" s="23" t="s">
        <v>33</v>
      </c>
      <c r="D21" s="24">
        <f>(((1.063*10279.5981340652)*1.07)*1.09)*1.05</f>
        <v>13381.628723291995</v>
      </c>
      <c r="E21" s="17">
        <f t="shared" si="0"/>
        <v>0.12989501647555587</v>
      </c>
    </row>
    <row r="22" spans="1:6" ht="30">
      <c r="A22" s="8" t="s">
        <v>34</v>
      </c>
      <c r="B22" s="25" t="s">
        <v>35</v>
      </c>
      <c r="C22" s="26" t="s">
        <v>36</v>
      </c>
      <c r="D22" s="24">
        <f>(((1.063*293.595207363507)*1.07)*1.09)*1.05</f>
        <v>382.19218384198518</v>
      </c>
      <c r="E22" s="27">
        <f t="shared" si="0"/>
        <v>3.7099265749745212E-3</v>
      </c>
    </row>
    <row r="23" spans="1:6" ht="75">
      <c r="A23" s="8" t="s">
        <v>37</v>
      </c>
      <c r="B23" s="14" t="s">
        <v>38</v>
      </c>
      <c r="C23" s="23" t="s">
        <v>39</v>
      </c>
      <c r="D23" s="28">
        <f>(((1.063*669.962614920222)*1.07)*1.09)*1.05</f>
        <v>872.13438253377092</v>
      </c>
      <c r="E23" s="17">
        <f t="shared" si="0"/>
        <v>8.4657788921417357E-3</v>
      </c>
    </row>
    <row r="24" spans="1:6" ht="45">
      <c r="A24" s="8" t="s">
        <v>40</v>
      </c>
      <c r="B24" s="14" t="s">
        <v>41</v>
      </c>
      <c r="C24" s="23" t="s">
        <v>42</v>
      </c>
      <c r="D24" s="28">
        <f>(((1.063*186.878860659707)*1.07)*1.09)*1.05</f>
        <v>243.27249927143467</v>
      </c>
      <c r="E24" s="27">
        <f t="shared" si="0"/>
        <v>2.3614379052312269E-3</v>
      </c>
    </row>
    <row r="25" spans="1:6">
      <c r="A25" s="8" t="s">
        <v>43</v>
      </c>
      <c r="B25" s="14" t="s">
        <v>44</v>
      </c>
      <c r="C25" s="23" t="s">
        <v>45</v>
      </c>
      <c r="D25" s="28">
        <f>(((1.063*30.9363438130658)*1.07)*1.09)*1.05</f>
        <v>40.271872651391753</v>
      </c>
      <c r="E25" s="29">
        <f t="shared" si="0"/>
        <v>3.9091770289880834E-4</v>
      </c>
    </row>
    <row r="26" spans="1:6">
      <c r="A26" s="8" t="s">
        <v>46</v>
      </c>
      <c r="B26" s="14" t="s">
        <v>47</v>
      </c>
      <c r="C26" s="23" t="s">
        <v>45</v>
      </c>
      <c r="D26" s="28">
        <f>(((1.063*530.994069950371)*1.07)*1.09)*1.05</f>
        <v>691.22989105952695</v>
      </c>
      <c r="E26" s="17">
        <f t="shared" si="0"/>
        <v>6.7097451247687505E-3</v>
      </c>
      <c r="F26" s="30"/>
    </row>
    <row r="27" spans="1:6">
      <c r="A27" s="8" t="s">
        <v>48</v>
      </c>
      <c r="B27" s="14" t="s">
        <v>49</v>
      </c>
      <c r="C27" s="23" t="s">
        <v>50</v>
      </c>
      <c r="D27" s="28">
        <f>(((1.063*227.119781985512)*1.07)*1.09)*1.05</f>
        <v>295.65675220060768</v>
      </c>
      <c r="E27" s="27">
        <f t="shared" si="0"/>
        <v>2.8699300729634562E-3</v>
      </c>
    </row>
    <row r="28" spans="1:6" ht="28.5">
      <c r="A28" s="8" t="s">
        <v>51</v>
      </c>
      <c r="B28" s="9" t="s">
        <v>52</v>
      </c>
      <c r="C28" s="31"/>
      <c r="D28" s="19">
        <f>(((1.063*544021.32)*1.07)*1.09)*1.05</f>
        <v>708188.31892568327</v>
      </c>
      <c r="E28" s="12">
        <f t="shared" si="0"/>
        <v>6.8743600092961996</v>
      </c>
    </row>
    <row r="29" spans="1:6">
      <c r="A29" s="8" t="s">
        <v>53</v>
      </c>
      <c r="B29" s="32" t="s">
        <v>54</v>
      </c>
      <c r="C29" s="33"/>
      <c r="D29" s="34">
        <f>(((1.063*285412.86864545)*1.07)*1.09)*1.05</f>
        <v>371540.69558483141</v>
      </c>
      <c r="E29" s="35">
        <f t="shared" si="0"/>
        <v>3.6065329394715469</v>
      </c>
    </row>
    <row r="30" spans="1:6" ht="30">
      <c r="A30" s="8" t="s">
        <v>55</v>
      </c>
      <c r="B30" s="14" t="s">
        <v>56</v>
      </c>
      <c r="C30" s="36" t="s">
        <v>57</v>
      </c>
      <c r="D30" s="28">
        <f>(((1.063*117244.582364717)*1.07)*1.09)*1.05</f>
        <v>152624.98110921969</v>
      </c>
      <c r="E30" s="17">
        <f t="shared" si="0"/>
        <v>1.4815255187326946</v>
      </c>
    </row>
    <row r="31" spans="1:6" ht="30">
      <c r="A31" s="8" t="s">
        <v>58</v>
      </c>
      <c r="B31" s="14" t="s">
        <v>59</v>
      </c>
      <c r="C31" s="36" t="s">
        <v>60</v>
      </c>
      <c r="D31" s="28">
        <f>(((1.063*152115.853033805)*1.07)*1.09)*1.05</f>
        <v>198019.20675086172</v>
      </c>
      <c r="E31" s="17">
        <f t="shared" si="0"/>
        <v>1.9221657284967573</v>
      </c>
    </row>
    <row r="32" spans="1:6">
      <c r="A32" s="8" t="s">
        <v>61</v>
      </c>
      <c r="B32" s="14" t="s">
        <v>62</v>
      </c>
      <c r="C32" s="36" t="s">
        <v>63</v>
      </c>
      <c r="D32" s="28">
        <f>(((1.063*12175.4001682389)*1.07)*1.09)*1.05</f>
        <v>15849.51887068064</v>
      </c>
      <c r="E32" s="17">
        <f t="shared" si="0"/>
        <v>0.15385074249244451</v>
      </c>
    </row>
    <row r="33" spans="1:6" ht="30">
      <c r="A33" s="8" t="s">
        <v>64</v>
      </c>
      <c r="B33" s="14" t="s">
        <v>65</v>
      </c>
      <c r="C33" s="36" t="s">
        <v>50</v>
      </c>
      <c r="D33" s="28">
        <f>(((1.063*726.435298083796)*1.07)*1.09)*1.05</f>
        <v>945.64858700434991</v>
      </c>
      <c r="E33" s="17">
        <f t="shared" si="0"/>
        <v>9.1793787833322656E-3</v>
      </c>
    </row>
    <row r="34" spans="1:6" ht="30">
      <c r="A34" s="8" t="s">
        <v>66</v>
      </c>
      <c r="B34" s="14" t="s">
        <v>67</v>
      </c>
      <c r="C34" s="36" t="s">
        <v>68</v>
      </c>
      <c r="D34" s="28">
        <f>(((1.063*613.878042221919)*1.07)*1.09)*1.05</f>
        <v>799.12540697215798</v>
      </c>
      <c r="E34" s="17">
        <f t="shared" si="0"/>
        <v>7.7570832408468942E-3</v>
      </c>
    </row>
    <row r="35" spans="1:6">
      <c r="A35" s="8" t="s">
        <v>69</v>
      </c>
      <c r="B35" s="14" t="s">
        <v>70</v>
      </c>
      <c r="C35" s="36" t="s">
        <v>71</v>
      </c>
      <c r="D35" s="28">
        <f>(((1.063*1841.65697629139)*1.07)*1.09)*1.05</f>
        <v>2397.4059657764087</v>
      </c>
      <c r="E35" s="17">
        <f t="shared" si="0"/>
        <v>2.3271538454887931E-2</v>
      </c>
    </row>
    <row r="36" spans="1:6" ht="30">
      <c r="A36" s="8" t="s">
        <v>72</v>
      </c>
      <c r="B36" s="14" t="s">
        <v>73</v>
      </c>
      <c r="C36" s="36" t="s">
        <v>74</v>
      </c>
      <c r="D36" s="28">
        <f>(((1.063*676.920159339848)*1.07)*1.09)*1.05</f>
        <v>881.19147552855623</v>
      </c>
      <c r="E36" s="17">
        <f t="shared" si="0"/>
        <v>8.5536957868714864E-3</v>
      </c>
    </row>
    <row r="37" spans="1:6">
      <c r="A37" s="8" t="s">
        <v>75</v>
      </c>
      <c r="B37" s="14" t="s">
        <v>76</v>
      </c>
      <c r="C37" s="36" t="s">
        <v>77</v>
      </c>
      <c r="D37" s="28">
        <f>(((1.063*18.1426027515895)*1.07)*1.09)*1.05</f>
        <v>23.617418787161959</v>
      </c>
      <c r="E37" s="29">
        <f t="shared" si="0"/>
        <v>2.2925348370551746E-4</v>
      </c>
    </row>
    <row r="38" spans="1:6">
      <c r="A38" s="8" t="s">
        <v>78</v>
      </c>
      <c r="B38" s="32" t="s">
        <v>79</v>
      </c>
      <c r="C38" s="37"/>
      <c r="D38" s="34">
        <f>(((1.063*258608.45135455)*1.07)*1.09)*1.05</f>
        <v>336647.62334085209</v>
      </c>
      <c r="E38" s="35">
        <f t="shared" si="0"/>
        <v>3.2678270698246541</v>
      </c>
    </row>
    <row r="39" spans="1:6" ht="30">
      <c r="A39" s="8" t="s">
        <v>80</v>
      </c>
      <c r="B39" s="14" t="s">
        <v>81</v>
      </c>
      <c r="C39" s="36" t="s">
        <v>82</v>
      </c>
      <c r="D39" s="28">
        <f>(((1.063*123787.580056966)*1.07)*1.09)*1.05</f>
        <v>161142.43137460347</v>
      </c>
      <c r="E39" s="17">
        <f t="shared" si="0"/>
        <v>1.5642041197781715</v>
      </c>
      <c r="F39" s="38"/>
    </row>
    <row r="40" spans="1:6" ht="30">
      <c r="A40" s="8" t="s">
        <v>83</v>
      </c>
      <c r="B40" s="14" t="s">
        <v>84</v>
      </c>
      <c r="C40" s="36" t="s">
        <v>85</v>
      </c>
      <c r="D40" s="28">
        <f>(((1.063*9646.21435310818)*1.07)*1.09)*1.05</f>
        <v>12557.111413803566</v>
      </c>
      <c r="E40" s="17">
        <f t="shared" si="0"/>
        <v>0.12189145489758729</v>
      </c>
    </row>
    <row r="41" spans="1:6">
      <c r="A41" s="8" t="s">
        <v>86</v>
      </c>
      <c r="B41" s="14" t="s">
        <v>87</v>
      </c>
      <c r="C41" s="36" t="s">
        <v>88</v>
      </c>
      <c r="D41" s="28">
        <f>(((1.063*110764.145529749)*1.07)*1.09)*1.05</f>
        <v>144188.97042482215</v>
      </c>
      <c r="E41" s="17">
        <f t="shared" si="0"/>
        <v>1.3996374489396319</v>
      </c>
    </row>
    <row r="42" spans="1:6" ht="30">
      <c r="A42" s="8" t="s">
        <v>89</v>
      </c>
      <c r="B42" s="14" t="s">
        <v>90</v>
      </c>
      <c r="C42" s="36" t="s">
        <v>91</v>
      </c>
      <c r="D42" s="28">
        <f>(((1.063*70.2971104268048)*1.07)*1.09)*1.05</f>
        <v>91.510370326096847</v>
      </c>
      <c r="E42" s="27">
        <f t="shared" si="0"/>
        <v>8.8828806320882065E-4</v>
      </c>
    </row>
    <row r="43" spans="1:6">
      <c r="A43" s="8" t="s">
        <v>92</v>
      </c>
      <c r="B43" s="14" t="s">
        <v>93</v>
      </c>
      <c r="C43" s="36" t="s">
        <v>71</v>
      </c>
      <c r="D43" s="28">
        <f>(((1.063*838.482743817887)*1.07)*1.09)*1.05</f>
        <v>1091.508113675736</v>
      </c>
      <c r="E43" s="17">
        <f t="shared" si="0"/>
        <v>1.0595232265137393E-2</v>
      </c>
    </row>
    <row r="44" spans="1:6">
      <c r="A44" s="8" t="s">
        <v>94</v>
      </c>
      <c r="B44" s="14" t="s">
        <v>95</v>
      </c>
      <c r="C44" s="36" t="s">
        <v>96</v>
      </c>
      <c r="D44" s="28">
        <f>(((1.063*838.745224542495)*1.07)*1.09)*1.05</f>
        <v>1091.8498020917534</v>
      </c>
      <c r="E44" s="17">
        <f t="shared" si="0"/>
        <v>1.0598549023010882E-2</v>
      </c>
      <c r="F44" s="30"/>
    </row>
    <row r="45" spans="1:6">
      <c r="A45" s="8" t="s">
        <v>97</v>
      </c>
      <c r="B45" s="14" t="s">
        <v>76</v>
      </c>
      <c r="C45" s="36" t="s">
        <v>77</v>
      </c>
      <c r="D45" s="28">
        <f>(((1.063*18.9463359398788)*1.07)*1.09)*1.05</f>
        <v>24.663691119796606</v>
      </c>
      <c r="E45" s="29">
        <f t="shared" si="0"/>
        <v>2.3940961377725821E-4</v>
      </c>
    </row>
    <row r="46" spans="1:6" s="42" customFormat="1">
      <c r="A46" s="20" t="s">
        <v>98</v>
      </c>
      <c r="B46" s="39" t="s">
        <v>99</v>
      </c>
      <c r="C46" s="40" t="s">
        <v>100</v>
      </c>
      <c r="D46" s="28">
        <f>(((1.063*12644.04)*1.07)*1.09)*1.05</f>
        <v>16459.578150409801</v>
      </c>
      <c r="E46" s="17">
        <f t="shared" si="0"/>
        <v>0.15977256724413216</v>
      </c>
      <c r="F46" s="41"/>
    </row>
    <row r="47" spans="1:6" ht="45">
      <c r="A47" s="8" t="s">
        <v>101</v>
      </c>
      <c r="B47" s="43" t="s">
        <v>102</v>
      </c>
      <c r="C47" s="44" t="s">
        <v>103</v>
      </c>
      <c r="D47" s="19">
        <f>(((1.1*195259.69)*1.1)*1.09)*1.05</f>
        <v>270404.40539805009</v>
      </c>
      <c r="E47" s="12">
        <f t="shared" si="0"/>
        <v>2.6248063984248513</v>
      </c>
    </row>
    <row r="48" spans="1:6" ht="28.5">
      <c r="A48" s="8" t="s">
        <v>104</v>
      </c>
      <c r="B48" s="9" t="s">
        <v>105</v>
      </c>
      <c r="C48" s="45" t="s">
        <v>106</v>
      </c>
      <c r="D48" s="19">
        <f>(((1.1*121683.48)*1.1)*1.09)*1.05</f>
        <v>168512.75886060006</v>
      </c>
      <c r="E48" s="12">
        <f t="shared" si="0"/>
        <v>1.6357476388833891</v>
      </c>
      <c r="F48" s="3">
        <v>152889.88</v>
      </c>
    </row>
    <row r="49" spans="1:6" ht="28.5">
      <c r="A49" s="8" t="s">
        <v>107</v>
      </c>
      <c r="B49" s="9" t="s">
        <v>108</v>
      </c>
      <c r="C49" s="45" t="s">
        <v>109</v>
      </c>
      <c r="D49" s="19">
        <f>(((1.1*76606.2)*1.1)*1.09)*1.05</f>
        <v>106087.71303900004</v>
      </c>
      <c r="E49" s="12">
        <f t="shared" si="0"/>
        <v>1.029789834855386</v>
      </c>
    </row>
    <row r="50" spans="1:6">
      <c r="A50" s="8" t="s">
        <v>110</v>
      </c>
      <c r="B50" s="9" t="s">
        <v>111</v>
      </c>
      <c r="C50" s="45" t="s">
        <v>112</v>
      </c>
      <c r="D50" s="19">
        <f>(((1.1*4966.63)*1.1)*1.09)*1.05</f>
        <v>6878.0127223500022</v>
      </c>
      <c r="E50" s="12">
        <f t="shared" si="0"/>
        <v>6.6764636380447093E-2</v>
      </c>
    </row>
    <row r="51" spans="1:6">
      <c r="A51" s="8" t="s">
        <v>113</v>
      </c>
      <c r="B51" s="9" t="s">
        <v>114</v>
      </c>
      <c r="C51" s="45" t="s">
        <v>115</v>
      </c>
      <c r="D51" s="19">
        <f>(131471.901*1.09)*1.05</f>
        <v>150469.59069450002</v>
      </c>
      <c r="E51" s="12">
        <f t="shared" si="0"/>
        <v>1.4606032170293193</v>
      </c>
    </row>
    <row r="52" spans="1:6" ht="30">
      <c r="A52" s="8" t="s">
        <v>116</v>
      </c>
      <c r="B52" s="9" t="s">
        <v>117</v>
      </c>
      <c r="C52" s="45" t="s">
        <v>118</v>
      </c>
      <c r="D52" s="19">
        <f>((12*1.18*4342)*1.09)*1.05</f>
        <v>70366.973040000012</v>
      </c>
      <c r="E52" s="12">
        <f t="shared" si="0"/>
        <v>0.68304982236252043</v>
      </c>
    </row>
    <row r="53" spans="1:6" ht="30">
      <c r="A53" s="8" t="s">
        <v>119</v>
      </c>
      <c r="B53" s="9" t="s">
        <v>120</v>
      </c>
      <c r="C53" s="45" t="s">
        <v>118</v>
      </c>
      <c r="D53" s="19">
        <f>((3743*12*1.18)*1.09)*1.05</f>
        <v>60659.507160000008</v>
      </c>
      <c r="E53" s="12">
        <f t="shared" si="0"/>
        <v>0.58881978007897595</v>
      </c>
      <c r="F53" s="3" t="s">
        <v>121</v>
      </c>
    </row>
    <row r="54" spans="1:6" ht="44.25">
      <c r="A54" s="8" t="s">
        <v>122</v>
      </c>
      <c r="B54" s="9" t="s">
        <v>123</v>
      </c>
      <c r="C54" s="45" t="s">
        <v>139</v>
      </c>
      <c r="D54" s="11">
        <f>9440*C7*1.1*1.18*0</f>
        <v>0</v>
      </c>
      <c r="E54" s="12">
        <f t="shared" si="0"/>
        <v>0</v>
      </c>
    </row>
    <row r="55" spans="1:6" ht="42.75">
      <c r="A55" s="8" t="s">
        <v>124</v>
      </c>
      <c r="B55" s="9" t="s">
        <v>125</v>
      </c>
      <c r="C55" s="45" t="s">
        <v>140</v>
      </c>
      <c r="D55" s="19">
        <f>7000*2*0</f>
        <v>0</v>
      </c>
      <c r="E55" s="12">
        <f t="shared" si="0"/>
        <v>0</v>
      </c>
    </row>
    <row r="56" spans="1:6">
      <c r="A56" s="60" t="s">
        <v>142</v>
      </c>
      <c r="B56" s="64" t="s">
        <v>141</v>
      </c>
      <c r="C56" s="61" t="s">
        <v>143</v>
      </c>
      <c r="D56" s="62">
        <f>энергосбер74!C24</f>
        <v>81454.918085106387</v>
      </c>
      <c r="E56" s="63">
        <f t="shared" si="0"/>
        <v>0.79068012911338892</v>
      </c>
    </row>
    <row r="57" spans="1:6">
      <c r="A57" s="46"/>
      <c r="B57" s="9" t="s">
        <v>126</v>
      </c>
      <c r="C57" s="31"/>
      <c r="D57" s="47">
        <f>D15+D17+D18+D19+D28+D47+D48+D49+D50+D51+D52+D53+D54+D55+D56</f>
        <v>2237335.4114987375</v>
      </c>
      <c r="E57" s="47">
        <f>D57/12/$C$8</f>
        <v>21.71773900976072</v>
      </c>
      <c r="F57" s="30"/>
    </row>
    <row r="58" spans="1:6" ht="114.75" customHeight="1">
      <c r="A58" s="20"/>
      <c r="B58" s="21" t="s">
        <v>127</v>
      </c>
      <c r="C58" s="48" t="s">
        <v>128</v>
      </c>
      <c r="D58" s="47">
        <f>D57*20%</f>
        <v>447467.0822997475</v>
      </c>
      <c r="E58" s="47">
        <f>D58/12/$C$8</f>
        <v>4.3435478019521438</v>
      </c>
    </row>
    <row r="59" spans="1:6" ht="28.5">
      <c r="A59" s="20"/>
      <c r="B59" s="21" t="s">
        <v>129</v>
      </c>
      <c r="C59" s="48"/>
      <c r="D59" s="47">
        <f>D58+D57</f>
        <v>2684802.493798485</v>
      </c>
      <c r="E59" s="47">
        <f>D59/12/$C$8</f>
        <v>26.061286811712865</v>
      </c>
    </row>
    <row r="60" spans="1:6">
      <c r="A60" s="97" t="s">
        <v>130</v>
      </c>
      <c r="B60" s="97"/>
      <c r="C60" s="97"/>
      <c r="D60" s="97"/>
      <c r="E60" s="97"/>
      <c r="F60" s="30"/>
    </row>
    <row r="61" spans="1:6" ht="42.75">
      <c r="A61" s="8" t="s">
        <v>14</v>
      </c>
      <c r="B61" s="9" t="s">
        <v>131</v>
      </c>
      <c r="C61" s="49"/>
      <c r="D61" s="19">
        <f>E61*12*C8</f>
        <v>58952.508300000009</v>
      </c>
      <c r="E61" s="12">
        <f>1.09*0.5*1.05</f>
        <v>0.57225000000000004</v>
      </c>
    </row>
    <row r="62" spans="1:6">
      <c r="B62" s="50"/>
      <c r="C62" s="51"/>
    </row>
    <row r="63" spans="1:6" ht="15.75">
      <c r="B63" s="50"/>
      <c r="C63" s="54">
        <v>2017</v>
      </c>
      <c r="D63" s="54">
        <v>2016</v>
      </c>
      <c r="E63" s="54" t="s">
        <v>132</v>
      </c>
    </row>
    <row r="64" spans="1:6" ht="15.75">
      <c r="B64" s="50"/>
      <c r="C64" s="55">
        <f>E58+E57</f>
        <v>26.061286811712865</v>
      </c>
      <c r="D64" s="55">
        <v>24.37</v>
      </c>
      <c r="E64" s="56">
        <f>C64/D64-100%</f>
        <v>6.9400361580339132E-2</v>
      </c>
    </row>
    <row r="65" spans="1:5">
      <c r="B65" s="50"/>
      <c r="C65" s="51"/>
    </row>
    <row r="66" spans="1:5">
      <c r="B66" s="50"/>
      <c r="C66" s="51"/>
    </row>
    <row r="67" spans="1:5">
      <c r="B67" s="57" t="s">
        <v>133</v>
      </c>
      <c r="C67" s="51"/>
      <c r="D67" s="3"/>
      <c r="E67" s="52" t="s">
        <v>134</v>
      </c>
    </row>
    <row r="68" spans="1:5">
      <c r="B68" s="57"/>
      <c r="C68" s="51"/>
      <c r="D68" s="3"/>
      <c r="E68" s="52"/>
    </row>
    <row r="69" spans="1:5">
      <c r="B69" s="50"/>
      <c r="C69" s="51"/>
      <c r="D69" s="3"/>
      <c r="E69" s="52"/>
    </row>
    <row r="70" spans="1:5">
      <c r="B70" s="57" t="s">
        <v>135</v>
      </c>
      <c r="C70" s="51"/>
      <c r="D70" s="3"/>
      <c r="E70" s="52" t="s">
        <v>136</v>
      </c>
    </row>
    <row r="71" spans="1:5">
      <c r="B71" s="57"/>
      <c r="C71" s="51"/>
    </row>
    <row r="72" spans="1:5" ht="60.75" customHeight="1">
      <c r="A72" s="99" t="s">
        <v>138</v>
      </c>
      <c r="B72" s="99"/>
      <c r="C72" s="99"/>
      <c r="D72" s="99"/>
      <c r="E72" s="99"/>
    </row>
    <row r="73" spans="1:5">
      <c r="B73" s="50"/>
      <c r="C73" s="51"/>
    </row>
    <row r="74" spans="1:5">
      <c r="B74" s="50"/>
      <c r="C74" s="51"/>
    </row>
    <row r="75" spans="1:5">
      <c r="B75" s="50"/>
      <c r="C75" s="51"/>
    </row>
    <row r="76" spans="1:5">
      <c r="B76" s="50"/>
      <c r="C76" s="51"/>
    </row>
    <row r="77" spans="1:5">
      <c r="B77" s="50"/>
      <c r="C77" s="51"/>
    </row>
    <row r="78" spans="1:5">
      <c r="B78" s="50"/>
      <c r="C78" s="51"/>
    </row>
    <row r="79" spans="1:5">
      <c r="B79" s="50"/>
      <c r="C79" s="51"/>
    </row>
    <row r="80" spans="1:5">
      <c r="B80" s="50"/>
      <c r="C80" s="51"/>
    </row>
    <row r="81" spans="1:8">
      <c r="B81" s="50"/>
      <c r="C81" s="51"/>
    </row>
    <row r="82" spans="1:8">
      <c r="B82" s="50"/>
      <c r="C82" s="51"/>
    </row>
    <row r="83" spans="1:8">
      <c r="B83" s="50"/>
      <c r="C83" s="51"/>
    </row>
    <row r="84" spans="1:8" s="52" customFormat="1">
      <c r="A84" s="1"/>
      <c r="B84" s="50"/>
      <c r="C84" s="51"/>
      <c r="E84" s="53"/>
      <c r="F84" s="3"/>
      <c r="G84" s="3"/>
      <c r="H84" s="3"/>
    </row>
    <row r="85" spans="1:8" s="52" customFormat="1">
      <c r="A85" s="1"/>
      <c r="B85" s="50"/>
      <c r="C85" s="51"/>
      <c r="E85" s="53"/>
      <c r="F85" s="3"/>
      <c r="G85" s="3"/>
      <c r="H85" s="3"/>
    </row>
    <row r="86" spans="1:8" s="52" customFormat="1">
      <c r="A86" s="1"/>
      <c r="B86" s="50"/>
      <c r="C86" s="51"/>
      <c r="E86" s="53"/>
      <c r="F86" s="3"/>
      <c r="G86" s="3"/>
      <c r="H86" s="3"/>
    </row>
    <row r="87" spans="1:8" s="52" customFormat="1">
      <c r="A87" s="1"/>
      <c r="B87" s="50"/>
      <c r="C87" s="51"/>
      <c r="E87" s="53"/>
      <c r="F87" s="3"/>
      <c r="G87" s="3"/>
      <c r="H87" s="3"/>
    </row>
    <row r="88" spans="1:8" s="52" customFormat="1">
      <c r="A88" s="1"/>
      <c r="B88" s="50"/>
      <c r="C88" s="51"/>
      <c r="E88" s="53"/>
      <c r="F88" s="3"/>
      <c r="G88" s="3"/>
      <c r="H88" s="3"/>
    </row>
    <row r="89" spans="1:8" s="52" customFormat="1">
      <c r="A89" s="1"/>
      <c r="B89" s="50"/>
      <c r="C89" s="51"/>
      <c r="E89" s="53"/>
      <c r="F89" s="3"/>
      <c r="G89" s="3"/>
      <c r="H89" s="3"/>
    </row>
    <row r="90" spans="1:8" s="52" customFormat="1">
      <c r="A90" s="1"/>
      <c r="B90" s="50"/>
      <c r="C90" s="51"/>
      <c r="E90" s="53"/>
      <c r="F90" s="3"/>
      <c r="G90" s="3"/>
      <c r="H90" s="3"/>
    </row>
    <row r="91" spans="1:8" s="52" customFormat="1">
      <c r="A91" s="1"/>
      <c r="B91" s="50"/>
      <c r="C91" s="51"/>
      <c r="E91" s="53"/>
      <c r="F91" s="3"/>
      <c r="G91" s="3"/>
      <c r="H91" s="3"/>
    </row>
    <row r="92" spans="1:8" s="52" customFormat="1">
      <c r="A92" s="1"/>
      <c r="B92" s="50"/>
      <c r="C92" s="51"/>
      <c r="E92" s="53"/>
      <c r="F92" s="3"/>
      <c r="G92" s="3"/>
      <c r="H92" s="3"/>
    </row>
    <row r="93" spans="1:8" s="52" customFormat="1">
      <c r="A93" s="1"/>
      <c r="B93" s="50"/>
      <c r="C93" s="51"/>
      <c r="E93" s="53"/>
      <c r="F93" s="3"/>
      <c r="G93" s="3"/>
      <c r="H93" s="3"/>
    </row>
    <row r="94" spans="1:8" s="52" customFormat="1">
      <c r="A94" s="1"/>
      <c r="B94" s="50"/>
      <c r="C94" s="51"/>
      <c r="E94" s="53"/>
      <c r="F94" s="3"/>
      <c r="G94" s="3"/>
      <c r="H94" s="3"/>
    </row>
    <row r="95" spans="1:8" s="52" customFormat="1">
      <c r="A95" s="1"/>
      <c r="B95" s="50"/>
      <c r="C95" s="51"/>
      <c r="E95" s="53"/>
      <c r="F95" s="3"/>
      <c r="G95" s="3"/>
      <c r="H95" s="3"/>
    </row>
    <row r="96" spans="1:8" s="52" customFormat="1">
      <c r="A96" s="1"/>
      <c r="B96" s="50"/>
      <c r="C96" s="51"/>
      <c r="E96" s="53"/>
      <c r="F96" s="3"/>
      <c r="G96" s="3"/>
      <c r="H96" s="3"/>
    </row>
    <row r="97" spans="1:8" s="52" customFormat="1">
      <c r="A97" s="1"/>
      <c r="B97" s="50"/>
      <c r="C97" s="51"/>
      <c r="E97" s="53"/>
      <c r="F97" s="3"/>
      <c r="G97" s="3"/>
      <c r="H97" s="3"/>
    </row>
    <row r="98" spans="1:8" s="52" customFormat="1">
      <c r="A98" s="1"/>
      <c r="B98" s="50"/>
      <c r="C98" s="51"/>
      <c r="E98" s="53"/>
      <c r="F98" s="3"/>
      <c r="G98" s="3"/>
      <c r="H98" s="3"/>
    </row>
    <row r="99" spans="1:8" s="52" customFormat="1">
      <c r="A99" s="1"/>
      <c r="B99" s="50"/>
      <c r="C99" s="51"/>
      <c r="E99" s="53"/>
      <c r="F99" s="3"/>
      <c r="G99" s="3"/>
      <c r="H99" s="3"/>
    </row>
    <row r="100" spans="1:8" s="52" customFormat="1">
      <c r="A100" s="1"/>
      <c r="B100" s="50"/>
      <c r="C100" s="51"/>
      <c r="E100" s="53"/>
      <c r="F100" s="3"/>
      <c r="G100" s="3"/>
      <c r="H100" s="3"/>
    </row>
    <row r="101" spans="1:8" s="52" customFormat="1">
      <c r="A101" s="1"/>
      <c r="B101" s="50"/>
      <c r="C101" s="51"/>
      <c r="E101" s="53"/>
      <c r="F101" s="3"/>
      <c r="G101" s="3"/>
      <c r="H101" s="3"/>
    </row>
    <row r="102" spans="1:8" s="52" customFormat="1">
      <c r="A102" s="1"/>
      <c r="B102" s="50"/>
      <c r="C102" s="51"/>
      <c r="E102" s="53"/>
      <c r="F102" s="3"/>
      <c r="G102" s="3"/>
      <c r="H102" s="3"/>
    </row>
    <row r="103" spans="1:8" s="52" customFormat="1">
      <c r="A103" s="1"/>
      <c r="B103" s="50"/>
      <c r="C103" s="51"/>
      <c r="E103" s="53"/>
      <c r="F103" s="3"/>
      <c r="G103" s="3"/>
      <c r="H103" s="3"/>
    </row>
    <row r="104" spans="1:8" s="52" customFormat="1">
      <c r="A104" s="1"/>
      <c r="B104" s="50"/>
      <c r="C104" s="51"/>
      <c r="E104" s="53"/>
      <c r="F104" s="3"/>
      <c r="G104" s="3"/>
      <c r="H104" s="3"/>
    </row>
    <row r="105" spans="1:8" s="52" customFormat="1">
      <c r="A105" s="1"/>
      <c r="B105" s="50"/>
      <c r="C105" s="51"/>
      <c r="E105" s="53"/>
      <c r="F105" s="3"/>
      <c r="G105" s="3"/>
      <c r="H105" s="3"/>
    </row>
    <row r="106" spans="1:8" s="52" customFormat="1">
      <c r="A106" s="1"/>
      <c r="B106" s="50"/>
      <c r="C106" s="51"/>
      <c r="E106" s="53"/>
      <c r="F106" s="3"/>
      <c r="G106" s="3"/>
      <c r="H106" s="3"/>
    </row>
    <row r="107" spans="1:8" s="52" customFormat="1">
      <c r="A107" s="1"/>
      <c r="B107" s="50"/>
      <c r="C107" s="51"/>
      <c r="E107" s="53"/>
      <c r="F107" s="3"/>
      <c r="G107" s="3"/>
      <c r="H107" s="3"/>
    </row>
    <row r="108" spans="1:8" s="52" customFormat="1">
      <c r="A108" s="1"/>
      <c r="B108" s="50"/>
      <c r="C108" s="51"/>
      <c r="E108" s="53"/>
      <c r="F108" s="3"/>
      <c r="G108" s="3"/>
      <c r="H108" s="3"/>
    </row>
    <row r="109" spans="1:8" s="52" customFormat="1">
      <c r="A109" s="1"/>
      <c r="B109" s="50"/>
      <c r="C109" s="51"/>
      <c r="E109" s="53"/>
      <c r="F109" s="3"/>
      <c r="G109" s="3"/>
      <c r="H109" s="3"/>
    </row>
  </sheetData>
  <mergeCells count="21">
    <mergeCell ref="A14:E14"/>
    <mergeCell ref="A60:E60"/>
    <mergeCell ref="A72:E72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A7:B7"/>
    <mergeCell ref="C7:E7"/>
    <mergeCell ref="C2:E2"/>
    <mergeCell ref="C3:E3"/>
    <mergeCell ref="A5:E5"/>
    <mergeCell ref="A6:B6"/>
    <mergeCell ref="C6:E6"/>
  </mergeCells>
  <pageMargins left="0.55118110236220474" right="0.35433070866141736" top="0.55118110236220474" bottom="0.35433070866141736" header="0.15748031496062992" footer="0.31496062992125984"/>
  <pageSetup scale="58" orientation="portrait" r:id="rId1"/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45"/>
  <sheetViews>
    <sheetView view="pageBreakPreview" zoomScaleNormal="100" zoomScaleSheetLayoutView="100" workbookViewId="0">
      <selection activeCell="B23" sqref="B23"/>
    </sheetView>
  </sheetViews>
  <sheetFormatPr defaultRowHeight="15"/>
  <cols>
    <col min="1" max="1" width="6.5703125" style="66" customWidth="1"/>
    <col min="2" max="2" width="53.7109375" style="66" bestFit="1" customWidth="1"/>
    <col min="3" max="3" width="15.140625" style="66" customWidth="1"/>
    <col min="4" max="4" width="7.42578125" style="66" customWidth="1"/>
    <col min="5" max="5" width="11.7109375" style="66" bestFit="1" customWidth="1"/>
    <col min="6" max="16384" width="9.140625" style="66"/>
  </cols>
  <sheetData>
    <row r="1" spans="2:4" ht="15" customHeight="1">
      <c r="B1" s="65"/>
      <c r="C1" s="105" t="s">
        <v>144</v>
      </c>
      <c r="D1" s="105"/>
    </row>
    <row r="2" spans="2:4" ht="15" customHeight="1">
      <c r="B2" s="105" t="s">
        <v>145</v>
      </c>
      <c r="C2" s="105"/>
      <c r="D2" s="105"/>
    </row>
    <row r="3" spans="2:4" ht="15.75">
      <c r="B3" s="65"/>
      <c r="C3" s="65"/>
      <c r="D3" s="67"/>
    </row>
    <row r="4" spans="2:4" ht="15" customHeight="1">
      <c r="B4" s="105" t="s">
        <v>146</v>
      </c>
      <c r="C4" s="105"/>
      <c r="D4" s="105"/>
    </row>
    <row r="5" spans="2:4" ht="15.75">
      <c r="B5" s="65"/>
      <c r="C5" s="65"/>
      <c r="D5" s="67"/>
    </row>
    <row r="6" spans="2:4" ht="15" customHeight="1">
      <c r="B6" s="105" t="s">
        <v>147</v>
      </c>
      <c r="C6" s="105"/>
      <c r="D6" s="105"/>
    </row>
    <row r="7" spans="2:4" ht="15.75">
      <c r="B7" s="67"/>
      <c r="C7" s="65"/>
      <c r="D7" s="65"/>
    </row>
    <row r="8" spans="2:4" ht="15.75">
      <c r="B8" s="67"/>
      <c r="C8" s="65"/>
      <c r="D8" s="65"/>
    </row>
    <row r="9" spans="2:4" ht="15.75">
      <c r="B9" s="67"/>
      <c r="C9" s="65"/>
      <c r="D9" s="65"/>
    </row>
    <row r="10" spans="2:4" ht="15.75">
      <c r="B10" s="106" t="s">
        <v>148</v>
      </c>
      <c r="C10" s="106"/>
      <c r="D10" s="106"/>
    </row>
    <row r="11" spans="2:4" ht="35.25" customHeight="1">
      <c r="B11" s="107" t="s">
        <v>149</v>
      </c>
      <c r="C11" s="107"/>
      <c r="D11" s="107"/>
    </row>
    <row r="12" spans="2:4" ht="15.75">
      <c r="B12" s="106" t="s">
        <v>163</v>
      </c>
      <c r="C12" s="106"/>
      <c r="D12" s="106"/>
    </row>
    <row r="13" spans="2:4" ht="15.75">
      <c r="B13" s="107"/>
      <c r="C13" s="107"/>
      <c r="D13" s="107"/>
    </row>
    <row r="14" spans="2:4">
      <c r="B14" s="68"/>
      <c r="C14" s="108"/>
      <c r="D14" s="108"/>
    </row>
    <row r="15" spans="2:4">
      <c r="C15" s="69"/>
      <c r="D15" s="69"/>
    </row>
    <row r="16" spans="2:4">
      <c r="B16" s="70" t="s">
        <v>150</v>
      </c>
      <c r="C16" s="103" t="s">
        <v>151</v>
      </c>
      <c r="D16" s="104"/>
    </row>
    <row r="17" spans="2:5" ht="24" customHeight="1">
      <c r="B17" s="71" t="s">
        <v>152</v>
      </c>
      <c r="C17" s="103">
        <f>1524*11</f>
        <v>16764</v>
      </c>
      <c r="D17" s="104"/>
    </row>
    <row r="18" spans="2:5" ht="30">
      <c r="B18" s="71" t="s">
        <v>153</v>
      </c>
      <c r="C18" s="103">
        <f>1524*11</f>
        <v>16764</v>
      </c>
      <c r="D18" s="104"/>
    </row>
    <row r="19" spans="2:5">
      <c r="B19" s="71" t="s">
        <v>164</v>
      </c>
      <c r="C19" s="103">
        <f>94*8</f>
        <v>752</v>
      </c>
      <c r="D19" s="104"/>
    </row>
    <row r="20" spans="2:5">
      <c r="B20" s="71" t="s">
        <v>165</v>
      </c>
      <c r="C20" s="103">
        <f>94*28</f>
        <v>2632</v>
      </c>
      <c r="D20" s="104"/>
    </row>
    <row r="21" spans="2:5">
      <c r="B21" s="71" t="s">
        <v>166</v>
      </c>
      <c r="C21" s="103">
        <f>2*2151</f>
        <v>4302</v>
      </c>
      <c r="D21" s="104"/>
    </row>
    <row r="22" spans="2:5">
      <c r="B22" s="71" t="s">
        <v>167</v>
      </c>
      <c r="C22" s="103">
        <f>18000*2*1.25*1.25*13*1.15*1.302/1974*E22</f>
        <v>32835.925531914894</v>
      </c>
      <c r="D22" s="104"/>
      <c r="E22" s="66">
        <f>22*2+(8+28)*0.2+4*2</f>
        <v>59.2</v>
      </c>
    </row>
    <row r="23" spans="2:5">
      <c r="B23" s="71" t="s">
        <v>154</v>
      </c>
      <c r="C23" s="103">
        <f>SUM(C17:D22)*10%</f>
        <v>7404.9925531914896</v>
      </c>
      <c r="D23" s="104"/>
    </row>
    <row r="24" spans="2:5" s="73" customFormat="1" ht="14.25">
      <c r="B24" s="72" t="s">
        <v>155</v>
      </c>
      <c r="C24" s="109">
        <f>(SUM(C17:D23))*1</f>
        <v>81454.918085106387</v>
      </c>
      <c r="D24" s="110"/>
    </row>
    <row r="25" spans="2:5">
      <c r="B25" s="74"/>
      <c r="C25" s="75"/>
    </row>
    <row r="26" spans="2:5">
      <c r="B26" s="74" t="s">
        <v>156</v>
      </c>
      <c r="C26" s="75"/>
    </row>
    <row r="27" spans="2:5">
      <c r="B27" s="76"/>
      <c r="C27" s="76"/>
    </row>
    <row r="28" spans="2:5" ht="15.75">
      <c r="B28" s="77" t="s">
        <v>135</v>
      </c>
      <c r="C28" s="107" t="s">
        <v>136</v>
      </c>
      <c r="D28" s="107"/>
    </row>
    <row r="32" spans="2:5" hidden="1"/>
    <row r="33" spans="2:4" hidden="1"/>
    <row r="34" spans="2:4" hidden="1">
      <c r="B34" s="78">
        <v>4100.26</v>
      </c>
    </row>
    <row r="35" spans="2:4" hidden="1">
      <c r="B35" s="78">
        <f>B34*1.18</f>
        <v>4838.3068000000003</v>
      </c>
    </row>
    <row r="36" spans="2:4" ht="30" hidden="1">
      <c r="B36" s="78">
        <v>806.38</v>
      </c>
      <c r="C36" s="66" t="s">
        <v>157</v>
      </c>
    </row>
    <row r="37" spans="2:4" ht="45" hidden="1">
      <c r="B37" s="78">
        <v>229363.8</v>
      </c>
      <c r="C37" s="66" t="s">
        <v>158</v>
      </c>
    </row>
    <row r="38" spans="2:4" ht="30" hidden="1">
      <c r="B38" s="78">
        <f>B37/B36</f>
        <v>284.43636994965152</v>
      </c>
      <c r="C38" s="66" t="s">
        <v>159</v>
      </c>
    </row>
    <row r="39" spans="2:4" ht="30" hidden="1">
      <c r="B39" s="78">
        <f>B38/6</f>
        <v>47.406061658275256</v>
      </c>
      <c r="C39" s="66" t="s">
        <v>160</v>
      </c>
    </row>
    <row r="40" spans="2:4" hidden="1"/>
    <row r="41" spans="2:4" hidden="1">
      <c r="B41" s="79" t="s">
        <v>161</v>
      </c>
      <c r="C41" s="80">
        <v>23429.1</v>
      </c>
      <c r="D41" s="69">
        <f>B39/C43*C41</f>
        <v>26.39558535392106</v>
      </c>
    </row>
    <row r="42" spans="2:4" hidden="1">
      <c r="B42" s="79" t="s">
        <v>162</v>
      </c>
      <c r="C42" s="80">
        <v>18649.2</v>
      </c>
      <c r="D42" s="69">
        <f>B39/C43*C42</f>
        <v>21.010476304354189</v>
      </c>
    </row>
    <row r="43" spans="2:4" hidden="1">
      <c r="C43" s="68">
        <f>C42+C41</f>
        <v>42078.3</v>
      </c>
      <c r="D43" s="80"/>
    </row>
    <row r="44" spans="2:4" hidden="1"/>
    <row r="45" spans="2:4" hidden="1"/>
  </sheetData>
  <mergeCells count="19">
    <mergeCell ref="C24:D24"/>
    <mergeCell ref="C28:D28"/>
    <mergeCell ref="C19:D19"/>
    <mergeCell ref="C20:D20"/>
    <mergeCell ref="C21:D21"/>
    <mergeCell ref="C22:D22"/>
    <mergeCell ref="C23:D23"/>
    <mergeCell ref="C18:D18"/>
    <mergeCell ref="C1:D1"/>
    <mergeCell ref="B2:D2"/>
    <mergeCell ref="B4:D4"/>
    <mergeCell ref="B6:D6"/>
    <mergeCell ref="B10:D10"/>
    <mergeCell ref="B11:D11"/>
    <mergeCell ref="B12:D12"/>
    <mergeCell ref="B13:D13"/>
    <mergeCell ref="C14:D14"/>
    <mergeCell ref="C16:D16"/>
    <mergeCell ref="C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9"/>
  <sheetViews>
    <sheetView view="pageBreakPreview" topLeftCell="A47" zoomScale="85" zoomScaleSheetLayoutView="85" workbookViewId="0">
      <selection activeCell="E59" activeCellId="1" sqref="A5:E5 E59"/>
    </sheetView>
  </sheetViews>
  <sheetFormatPr defaultRowHeight="15"/>
  <cols>
    <col min="1" max="1" width="7" style="1" customWidth="1"/>
    <col min="2" max="2" width="44.85546875" style="58" customWidth="1"/>
    <col min="3" max="3" width="69.28515625" style="59" customWidth="1"/>
    <col min="4" max="4" width="18.28515625" style="52" customWidth="1"/>
    <col min="5" max="5" width="18.28515625" style="53" customWidth="1"/>
    <col min="6" max="6" width="11.42578125" style="3" hidden="1" customWidth="1"/>
    <col min="7" max="7" width="13" style="3" customWidth="1"/>
    <col min="8" max="8" width="9.140625" style="3"/>
    <col min="9" max="9" width="17.7109375" style="3" bestFit="1" customWidth="1"/>
    <col min="10" max="10" width="38.28515625" style="3" customWidth="1"/>
    <col min="11" max="12" width="12.7109375" style="3" customWidth="1"/>
    <col min="13" max="16384" width="9.140625" style="3"/>
  </cols>
  <sheetData>
    <row r="1" spans="1:8" ht="68.25" customHeight="1">
      <c r="C1" s="82" t="s">
        <v>169</v>
      </c>
    </row>
    <row r="2" spans="1:8">
      <c r="B2" s="2"/>
      <c r="C2" s="94" t="s">
        <v>0</v>
      </c>
      <c r="D2" s="94"/>
      <c r="E2" s="94"/>
    </row>
    <row r="3" spans="1:8">
      <c r="B3" s="2"/>
      <c r="C3" s="94" t="s">
        <v>1</v>
      </c>
      <c r="D3" s="94"/>
      <c r="E3" s="94"/>
    </row>
    <row r="4" spans="1:8">
      <c r="B4" s="2"/>
      <c r="C4" s="4"/>
      <c r="D4" s="5"/>
      <c r="E4" s="5"/>
    </row>
    <row r="5" spans="1:8" ht="105.75" customHeight="1">
      <c r="A5" s="95" t="s">
        <v>137</v>
      </c>
      <c r="B5" s="95"/>
      <c r="C5" s="95"/>
      <c r="D5" s="95"/>
      <c r="E5" s="96"/>
    </row>
    <row r="6" spans="1:8">
      <c r="A6" s="92" t="s">
        <v>2</v>
      </c>
      <c r="B6" s="92"/>
      <c r="C6" s="97" t="s">
        <v>3</v>
      </c>
      <c r="D6" s="97"/>
      <c r="E6" s="97"/>
    </row>
    <row r="7" spans="1:8">
      <c r="A7" s="92" t="s">
        <v>4</v>
      </c>
      <c r="B7" s="92"/>
      <c r="C7" s="93">
        <v>2</v>
      </c>
      <c r="D7" s="93"/>
      <c r="E7" s="93"/>
    </row>
    <row r="8" spans="1:8">
      <c r="A8" s="93" t="s">
        <v>5</v>
      </c>
      <c r="B8" s="93"/>
      <c r="C8" s="100">
        <f>C10+C9</f>
        <v>8584.9</v>
      </c>
      <c r="D8" s="100"/>
      <c r="E8" s="100"/>
    </row>
    <row r="9" spans="1:8">
      <c r="A9" s="93" t="s">
        <v>6</v>
      </c>
      <c r="B9" s="93"/>
      <c r="C9" s="100">
        <v>8027.2</v>
      </c>
      <c r="D9" s="100"/>
      <c r="E9" s="100"/>
    </row>
    <row r="10" spans="1:8">
      <c r="A10" s="93" t="s">
        <v>7</v>
      </c>
      <c r="B10" s="93"/>
      <c r="C10" s="100">
        <v>557.70000000000005</v>
      </c>
      <c r="D10" s="100"/>
      <c r="E10" s="100"/>
    </row>
    <row r="11" spans="1:8">
      <c r="A11" s="93" t="s">
        <v>168</v>
      </c>
      <c r="B11" s="93"/>
      <c r="C11" s="100">
        <v>940.5</v>
      </c>
      <c r="D11" s="100"/>
      <c r="E11" s="100"/>
    </row>
    <row r="12" spans="1:8">
      <c r="A12" s="93" t="s">
        <v>8</v>
      </c>
      <c r="B12" s="101"/>
      <c r="C12" s="100">
        <v>3417.1</v>
      </c>
      <c r="D12" s="100"/>
      <c r="E12" s="100"/>
    </row>
    <row r="13" spans="1:8" ht="60">
      <c r="A13" s="102" t="s">
        <v>9</v>
      </c>
      <c r="B13" s="102"/>
      <c r="C13" s="6" t="s">
        <v>10</v>
      </c>
      <c r="D13" s="7" t="s">
        <v>11</v>
      </c>
      <c r="E13" s="7" t="s">
        <v>12</v>
      </c>
    </row>
    <row r="14" spans="1:8">
      <c r="A14" s="98" t="s">
        <v>13</v>
      </c>
      <c r="B14" s="98"/>
      <c r="C14" s="98"/>
      <c r="D14" s="98"/>
      <c r="E14" s="98"/>
    </row>
    <row r="15" spans="1:8" ht="112.5">
      <c r="A15" s="8" t="s">
        <v>14</v>
      </c>
      <c r="B15" s="9" t="s">
        <v>15</v>
      </c>
      <c r="C15" s="10" t="s">
        <v>16</v>
      </c>
      <c r="D15" s="11">
        <f>(((1.063*159112.10521926)*1.07)*1.09)*1.05</f>
        <v>207126.68818926843</v>
      </c>
      <c r="E15" s="12">
        <f>D15/12/$C$8</f>
        <v>2.0105717421409341</v>
      </c>
      <c r="G15" s="3">
        <v>1.07</v>
      </c>
      <c r="H15" s="3">
        <v>1.0900000000000001</v>
      </c>
    </row>
    <row r="16" spans="1:8" ht="104.25">
      <c r="A16" s="13" t="s">
        <v>17</v>
      </c>
      <c r="B16" s="14" t="s">
        <v>18</v>
      </c>
      <c r="C16" s="15" t="s">
        <v>19</v>
      </c>
      <c r="D16" s="16">
        <f>(120*26+30*39)*1.05</f>
        <v>4504.5</v>
      </c>
      <c r="E16" s="17">
        <f>D16/12/$C$8</f>
        <v>4.3725028829689337E-2</v>
      </c>
      <c r="G16" s="3">
        <v>1.05</v>
      </c>
    </row>
    <row r="17" spans="1:12" ht="90">
      <c r="A17" s="8" t="s">
        <v>20</v>
      </c>
      <c r="B17" s="9" t="s">
        <v>21</v>
      </c>
      <c r="C17" s="10" t="s">
        <v>22</v>
      </c>
      <c r="D17" s="11">
        <f>(((1.063*100421.384780739)*1.07)*1.09)*1.05</f>
        <v>130725.11877303038</v>
      </c>
      <c r="E17" s="12">
        <f>D17/12/$C$8</f>
        <v>1.2689442972838976</v>
      </c>
    </row>
    <row r="18" spans="1:12" ht="30">
      <c r="A18" s="8" t="s">
        <v>23</v>
      </c>
      <c r="B18" s="9" t="s">
        <v>24</v>
      </c>
      <c r="C18" s="18" t="s">
        <v>25</v>
      </c>
      <c r="D18" s="19">
        <f>(((1.063*100384.21)*1.07)*1.09)*1.05</f>
        <v>130676.72591688645</v>
      </c>
      <c r="E18" s="12">
        <f t="shared" ref="E18:E56" si="0">D18/12/$C$8</f>
        <v>1.26847454946948</v>
      </c>
      <c r="H18" s="111" t="s">
        <v>185</v>
      </c>
      <c r="I18" s="111"/>
      <c r="J18" s="111"/>
      <c r="K18" s="111"/>
      <c r="L18" s="111"/>
    </row>
    <row r="19" spans="1:12" ht="45">
      <c r="A19" s="20" t="s">
        <v>26</v>
      </c>
      <c r="B19" s="21" t="s">
        <v>27</v>
      </c>
      <c r="C19" s="22"/>
      <c r="D19" s="19">
        <f>(((1.063*111989.95)*1.07)*1.09)*1.05</f>
        <v>145784.68069426276</v>
      </c>
      <c r="E19" s="12">
        <f t="shared" si="0"/>
        <v>1.4151269544419345</v>
      </c>
      <c r="G19" s="90" t="s">
        <v>186</v>
      </c>
      <c r="H19" s="83">
        <f>(C11/2177.1)</f>
        <v>0.43199669284828446</v>
      </c>
      <c r="I19" s="84" t="s">
        <v>170</v>
      </c>
      <c r="J19" s="85" t="s">
        <v>171</v>
      </c>
      <c r="K19" s="86">
        <f>K25+K26</f>
        <v>13423.840413521601</v>
      </c>
      <c r="L19" s="86">
        <f>K19*12</f>
        <v>161086.08496225922</v>
      </c>
    </row>
    <row r="20" spans="1:12" ht="45" customHeight="1">
      <c r="A20" s="8" t="s">
        <v>28</v>
      </c>
      <c r="B20" s="14" t="s">
        <v>29</v>
      </c>
      <c r="C20" s="23" t="s">
        <v>30</v>
      </c>
      <c r="D20" s="24">
        <f>(((1.063*99770.8649872424)*1.07)*1.09)*1.05</f>
        <v>129878.29438941204</v>
      </c>
      <c r="E20" s="17">
        <f t="shared" si="0"/>
        <v>1.2607242016933999</v>
      </c>
      <c r="H20" s="83">
        <f>H19*10000*1.25*1.25*1.15*13/12</f>
        <v>8409.3106225024112</v>
      </c>
      <c r="I20" s="84" t="s">
        <v>172</v>
      </c>
      <c r="J20" s="87" t="s">
        <v>173</v>
      </c>
      <c r="K20" s="81">
        <f>H20</f>
        <v>8409.3106225024112</v>
      </c>
      <c r="L20" s="86"/>
    </row>
    <row r="21" spans="1:12">
      <c r="A21" s="8" t="s">
        <v>31</v>
      </c>
      <c r="B21" s="14" t="s">
        <v>32</v>
      </c>
      <c r="C21" s="23" t="s">
        <v>33</v>
      </c>
      <c r="D21" s="24">
        <f>(((1.063*10279.5981340652)*1.07)*1.09)*1.05</f>
        <v>13381.628723291995</v>
      </c>
      <c r="E21" s="17">
        <f t="shared" si="0"/>
        <v>0.12989501647555587</v>
      </c>
      <c r="H21" s="88"/>
      <c r="I21" s="88"/>
      <c r="J21" s="87" t="s">
        <v>174</v>
      </c>
      <c r="K21" s="81">
        <f>K20*30.2%</f>
        <v>2539.6118079957282</v>
      </c>
      <c r="L21" s="86"/>
    </row>
    <row r="22" spans="1:12" ht="30">
      <c r="A22" s="8" t="s">
        <v>34</v>
      </c>
      <c r="B22" s="25" t="s">
        <v>35</v>
      </c>
      <c r="C22" s="26" t="s">
        <v>36</v>
      </c>
      <c r="D22" s="24">
        <f>(((1.063*293.595207363507)*1.07)*1.09)*1.05</f>
        <v>382.19218384198518</v>
      </c>
      <c r="E22" s="27">
        <f t="shared" si="0"/>
        <v>3.7099265749745212E-3</v>
      </c>
      <c r="H22" s="88"/>
      <c r="I22" s="88"/>
      <c r="J22" s="87" t="s">
        <v>175</v>
      </c>
      <c r="K22" s="81">
        <f>K20*10%</f>
        <v>840.93106225024121</v>
      </c>
      <c r="L22" s="86"/>
    </row>
    <row r="23" spans="1:12" ht="75">
      <c r="A23" s="8" t="s">
        <v>37</v>
      </c>
      <c r="B23" s="14" t="s">
        <v>38</v>
      </c>
      <c r="C23" s="23" t="s">
        <v>39</v>
      </c>
      <c r="D23" s="28">
        <f>(((1.063*669.962614920222)*1.07)*1.09)*1.05</f>
        <v>872.13438253377092</v>
      </c>
      <c r="E23" s="17">
        <f t="shared" si="0"/>
        <v>8.4657788921417357E-3</v>
      </c>
      <c r="H23" s="88"/>
      <c r="I23" s="88"/>
      <c r="J23" s="87" t="s">
        <v>176</v>
      </c>
      <c r="K23" s="81">
        <f>SUM(K20:K22)*0.2%</f>
        <v>23.579706985496763</v>
      </c>
      <c r="L23" s="86"/>
    </row>
    <row r="24" spans="1:12" ht="45">
      <c r="A24" s="8" t="s">
        <v>40</v>
      </c>
      <c r="B24" s="14" t="s">
        <v>41</v>
      </c>
      <c r="C24" s="23" t="s">
        <v>42</v>
      </c>
      <c r="D24" s="28">
        <f>(((1.063*186.878860659707)*1.07)*1.09)*1.05</f>
        <v>243.27249927143467</v>
      </c>
      <c r="E24" s="27">
        <f t="shared" si="0"/>
        <v>2.3614379052312269E-3</v>
      </c>
      <c r="H24" s="88"/>
      <c r="I24" s="88"/>
      <c r="J24" s="87" t="s">
        <v>177</v>
      </c>
      <c r="K24" s="81">
        <f>SUM(K20:K23)*7.2%</f>
        <v>850.56719038083929</v>
      </c>
      <c r="L24" s="86"/>
    </row>
    <row r="25" spans="1:12">
      <c r="A25" s="8" t="s">
        <v>43</v>
      </c>
      <c r="B25" s="14" t="s">
        <v>44</v>
      </c>
      <c r="C25" s="23" t="s">
        <v>45</v>
      </c>
      <c r="D25" s="28">
        <f>(((1.063*30.9363438130658)*1.07)*1.09)*1.05</f>
        <v>40.271872651391753</v>
      </c>
      <c r="E25" s="29">
        <f t="shared" si="0"/>
        <v>3.9091770289880834E-4</v>
      </c>
      <c r="H25" s="88"/>
      <c r="I25" s="88"/>
      <c r="J25" s="87" t="s">
        <v>178</v>
      </c>
      <c r="K25" s="81">
        <f>SUM(K20:K24)</f>
        <v>12664.000390114717</v>
      </c>
      <c r="L25" s="86"/>
    </row>
    <row r="26" spans="1:12">
      <c r="A26" s="8" t="s">
        <v>46</v>
      </c>
      <c r="B26" s="14" t="s">
        <v>47</v>
      </c>
      <c r="C26" s="23" t="s">
        <v>45</v>
      </c>
      <c r="D26" s="28">
        <f>(((1.063*530.994069950371)*1.07)*1.09)*1.05</f>
        <v>691.22989105952695</v>
      </c>
      <c r="E26" s="17">
        <f t="shared" si="0"/>
        <v>6.7097451247687505E-3</v>
      </c>
      <c r="F26" s="30"/>
      <c r="H26" s="88"/>
      <c r="I26" s="88"/>
      <c r="J26" s="87" t="s">
        <v>179</v>
      </c>
      <c r="K26" s="81">
        <f>K25*6%</f>
        <v>759.84002340688301</v>
      </c>
      <c r="L26" s="86"/>
    </row>
    <row r="27" spans="1:12">
      <c r="A27" s="8" t="s">
        <v>48</v>
      </c>
      <c r="B27" s="14" t="s">
        <v>49</v>
      </c>
      <c r="C27" s="23" t="s">
        <v>50</v>
      </c>
      <c r="D27" s="28">
        <f>(((1.063*227.119781985512)*1.07)*1.09)*1.05</f>
        <v>295.65675220060768</v>
      </c>
      <c r="E27" s="27">
        <f t="shared" si="0"/>
        <v>2.8699300729634562E-3</v>
      </c>
      <c r="H27" s="88"/>
      <c r="I27" s="88"/>
      <c r="J27" s="88"/>
      <c r="K27" s="88"/>
      <c r="L27" s="89"/>
    </row>
    <row r="28" spans="1:12" ht="45">
      <c r="A28" s="8" t="s">
        <v>51</v>
      </c>
      <c r="B28" s="9" t="s">
        <v>52</v>
      </c>
      <c r="C28" s="31"/>
      <c r="D28" s="19">
        <f>(((1.063*544021.32)*1.07)*1.09)*1.05</f>
        <v>708188.31892568327</v>
      </c>
      <c r="E28" s="12">
        <f t="shared" si="0"/>
        <v>6.8743600092961996</v>
      </c>
      <c r="G28" s="90" t="s">
        <v>186</v>
      </c>
      <c r="H28" s="83">
        <f>(C12/3801.6)</f>
        <v>0.89885837542087543</v>
      </c>
      <c r="I28" s="84" t="s">
        <v>170</v>
      </c>
      <c r="J28" s="85" t="s">
        <v>180</v>
      </c>
      <c r="K28" s="86">
        <f>K36+K37</f>
        <v>40836.969109164034</v>
      </c>
      <c r="L28" s="86">
        <f>K28*12</f>
        <v>490043.62930996844</v>
      </c>
    </row>
    <row r="29" spans="1:12">
      <c r="A29" s="8" t="s">
        <v>53</v>
      </c>
      <c r="B29" s="32" t="s">
        <v>54</v>
      </c>
      <c r="C29" s="33"/>
      <c r="D29" s="34">
        <f>(((1.063*285412.86864545)*1.07)*1.09)*1.05</f>
        <v>371540.69558483141</v>
      </c>
      <c r="E29" s="35">
        <f t="shared" si="0"/>
        <v>3.6065329394715469</v>
      </c>
      <c r="H29" s="83">
        <f>H28*14000*1.25*1.25*1.15*13/12</f>
        <v>24496.231507238179</v>
      </c>
      <c r="I29" s="84" t="s">
        <v>181</v>
      </c>
      <c r="J29" s="87" t="s">
        <v>173</v>
      </c>
      <c r="K29" s="81">
        <f>H29</f>
        <v>24496.231507238179</v>
      </c>
      <c r="L29" s="86"/>
    </row>
    <row r="30" spans="1:12" ht="30">
      <c r="A30" s="8" t="s">
        <v>55</v>
      </c>
      <c r="B30" s="14" t="s">
        <v>56</v>
      </c>
      <c r="C30" s="36" t="s">
        <v>57</v>
      </c>
      <c r="D30" s="28">
        <f>(((1.063*117244.582364717)*1.07)*1.09)*1.05</f>
        <v>152624.98110921969</v>
      </c>
      <c r="E30" s="17">
        <f t="shared" si="0"/>
        <v>1.4815255187326946</v>
      </c>
      <c r="H30" s="88"/>
      <c r="I30" s="88"/>
      <c r="J30" s="87" t="s">
        <v>174</v>
      </c>
      <c r="K30" s="81">
        <f>K29*30.2%</f>
        <v>7397.8619151859302</v>
      </c>
      <c r="L30" s="86"/>
    </row>
    <row r="31" spans="1:12" ht="30">
      <c r="A31" s="8" t="s">
        <v>58</v>
      </c>
      <c r="B31" s="14" t="s">
        <v>59</v>
      </c>
      <c r="C31" s="36" t="s">
        <v>60</v>
      </c>
      <c r="D31" s="28">
        <f>(((1.063*152115.853033805)*1.07)*1.09)*1.05</f>
        <v>198019.20675086172</v>
      </c>
      <c r="E31" s="17">
        <f t="shared" si="0"/>
        <v>1.9221657284967573</v>
      </c>
      <c r="H31" s="88"/>
      <c r="I31" s="88"/>
      <c r="J31" s="87" t="s">
        <v>175</v>
      </c>
      <c r="K31" s="81">
        <f>K29*10%</f>
        <v>2449.6231507238181</v>
      </c>
      <c r="L31" s="86"/>
    </row>
    <row r="32" spans="1:12" ht="30">
      <c r="A32" s="8" t="s">
        <v>61</v>
      </c>
      <c r="B32" s="14" t="s">
        <v>62</v>
      </c>
      <c r="C32" s="36" t="s">
        <v>63</v>
      </c>
      <c r="D32" s="28">
        <f>(((1.063*12175.4001682389)*1.07)*1.09)*1.05</f>
        <v>15849.51887068064</v>
      </c>
      <c r="E32" s="17">
        <f t="shared" si="0"/>
        <v>0.15385074249244451</v>
      </c>
      <c r="H32" s="88"/>
      <c r="I32" s="88"/>
      <c r="J32" s="87" t="s">
        <v>182</v>
      </c>
      <c r="K32" s="81">
        <f>K29*10%</f>
        <v>2449.6231507238181</v>
      </c>
      <c r="L32" s="86">
        <f>K32*12</f>
        <v>29395.477808685817</v>
      </c>
    </row>
    <row r="33" spans="1:12" ht="30">
      <c r="A33" s="8" t="s">
        <v>64</v>
      </c>
      <c r="B33" s="14" t="s">
        <v>65</v>
      </c>
      <c r="C33" s="36" t="s">
        <v>50</v>
      </c>
      <c r="D33" s="28">
        <f>(((1.063*726.435298083796)*1.07)*1.09)*1.05</f>
        <v>945.64858700434991</v>
      </c>
      <c r="E33" s="17">
        <f t="shared" si="0"/>
        <v>9.1793787833322656E-3</v>
      </c>
      <c r="H33" s="88"/>
      <c r="I33" s="88"/>
      <c r="J33" s="87" t="s">
        <v>183</v>
      </c>
      <c r="K33" s="81">
        <f>K29*5%</f>
        <v>1224.811575361909</v>
      </c>
      <c r="L33" s="86"/>
    </row>
    <row r="34" spans="1:12" ht="30">
      <c r="A34" s="8" t="s">
        <v>66</v>
      </c>
      <c r="B34" s="14" t="s">
        <v>67</v>
      </c>
      <c r="C34" s="36" t="s">
        <v>68</v>
      </c>
      <c r="D34" s="28">
        <f>(((1.063*613.878042221919)*1.07)*1.09)*1.05</f>
        <v>799.12540697215798</v>
      </c>
      <c r="E34" s="17">
        <f t="shared" si="0"/>
        <v>7.7570832408468942E-3</v>
      </c>
      <c r="H34" s="88"/>
      <c r="I34" s="88"/>
      <c r="J34" s="87" t="s">
        <v>176</v>
      </c>
      <c r="K34" s="81">
        <f>SUM(K29:K33)*0.2%</f>
        <v>76.036302598467302</v>
      </c>
      <c r="L34" s="86"/>
    </row>
    <row r="35" spans="1:12">
      <c r="A35" s="8" t="s">
        <v>69</v>
      </c>
      <c r="B35" s="14" t="s">
        <v>70</v>
      </c>
      <c r="C35" s="36" t="s">
        <v>71</v>
      </c>
      <c r="D35" s="28">
        <f>(((1.063*1841.65697629139)*1.07)*1.09)*1.05</f>
        <v>2397.4059657764087</v>
      </c>
      <c r="E35" s="17">
        <f t="shared" si="0"/>
        <v>2.3271538454887931E-2</v>
      </c>
      <c r="H35" s="88"/>
      <c r="I35" s="88"/>
      <c r="J35" s="87" t="s">
        <v>184</v>
      </c>
      <c r="K35" s="81">
        <f>SUM(K29:K34)*7.2%</f>
        <v>2742.781507331913</v>
      </c>
      <c r="L35" s="86"/>
    </row>
    <row r="36" spans="1:12" ht="30">
      <c r="A36" s="8" t="s">
        <v>72</v>
      </c>
      <c r="B36" s="14" t="s">
        <v>73</v>
      </c>
      <c r="C36" s="36" t="s">
        <v>74</v>
      </c>
      <c r="D36" s="28">
        <f>(((1.063*676.920159339848)*1.07)*1.09)*1.05</f>
        <v>881.19147552855623</v>
      </c>
      <c r="E36" s="17">
        <f t="shared" si="0"/>
        <v>8.5536957868714864E-3</v>
      </c>
      <c r="H36" s="88"/>
      <c r="I36" s="88"/>
      <c r="J36" s="87" t="s">
        <v>178</v>
      </c>
      <c r="K36" s="81">
        <f>SUM(K29:K35)</f>
        <v>40836.969109164034</v>
      </c>
      <c r="L36" s="86"/>
    </row>
    <row r="37" spans="1:12">
      <c r="A37" s="8" t="s">
        <v>75</v>
      </c>
      <c r="B37" s="14" t="s">
        <v>76</v>
      </c>
      <c r="C37" s="36" t="s">
        <v>77</v>
      </c>
      <c r="D37" s="28">
        <f>(((1.063*18.1426027515895)*1.07)*1.09)*1.05</f>
        <v>23.617418787161959</v>
      </c>
      <c r="E37" s="29">
        <f t="shared" si="0"/>
        <v>2.2925348370551746E-4</v>
      </c>
    </row>
    <row r="38" spans="1:12">
      <c r="A38" s="8" t="s">
        <v>78</v>
      </c>
      <c r="B38" s="32" t="s">
        <v>79</v>
      </c>
      <c r="C38" s="37"/>
      <c r="D38" s="34">
        <f>(((1.063*258608.45135455)*1.07)*1.09)*1.05</f>
        <v>336647.62334085209</v>
      </c>
      <c r="E38" s="35">
        <f t="shared" si="0"/>
        <v>3.2678270698246541</v>
      </c>
    </row>
    <row r="39" spans="1:12" ht="30">
      <c r="A39" s="8" t="s">
        <v>80</v>
      </c>
      <c r="B39" s="14" t="s">
        <v>81</v>
      </c>
      <c r="C39" s="36" t="s">
        <v>82</v>
      </c>
      <c r="D39" s="28">
        <f>(((1.063*123787.580056966)*1.07)*1.09)*1.05</f>
        <v>161142.43137460347</v>
      </c>
      <c r="E39" s="17">
        <f t="shared" si="0"/>
        <v>1.5642041197781715</v>
      </c>
      <c r="F39" s="38"/>
    </row>
    <row r="40" spans="1:12" ht="30">
      <c r="A40" s="8" t="s">
        <v>83</v>
      </c>
      <c r="B40" s="14" t="s">
        <v>84</v>
      </c>
      <c r="C40" s="36" t="s">
        <v>85</v>
      </c>
      <c r="D40" s="28">
        <f>(((1.063*9646.21435310818)*1.07)*1.09)*1.05</f>
        <v>12557.111413803566</v>
      </c>
      <c r="E40" s="17">
        <f t="shared" si="0"/>
        <v>0.12189145489758729</v>
      </c>
    </row>
    <row r="41" spans="1:12">
      <c r="A41" s="8" t="s">
        <v>86</v>
      </c>
      <c r="B41" s="14" t="s">
        <v>87</v>
      </c>
      <c r="C41" s="36" t="s">
        <v>88</v>
      </c>
      <c r="D41" s="28">
        <f>(((1.063*110764.145529749)*1.07)*1.09)*1.05</f>
        <v>144188.97042482215</v>
      </c>
      <c r="E41" s="17">
        <f t="shared" si="0"/>
        <v>1.3996374489396319</v>
      </c>
    </row>
    <row r="42" spans="1:12" ht="30">
      <c r="A42" s="8" t="s">
        <v>89</v>
      </c>
      <c r="B42" s="14" t="s">
        <v>90</v>
      </c>
      <c r="C42" s="36" t="s">
        <v>91</v>
      </c>
      <c r="D42" s="28">
        <f>(((1.063*70.2971104268048)*1.07)*1.09)*1.05</f>
        <v>91.510370326096847</v>
      </c>
      <c r="E42" s="27">
        <f t="shared" si="0"/>
        <v>8.8828806320882065E-4</v>
      </c>
    </row>
    <row r="43" spans="1:12">
      <c r="A43" s="8" t="s">
        <v>92</v>
      </c>
      <c r="B43" s="14" t="s">
        <v>93</v>
      </c>
      <c r="C43" s="36" t="s">
        <v>71</v>
      </c>
      <c r="D43" s="28">
        <f>(((1.063*838.482743817887)*1.07)*1.09)*1.05</f>
        <v>1091.508113675736</v>
      </c>
      <c r="E43" s="17">
        <f t="shared" si="0"/>
        <v>1.0595232265137393E-2</v>
      </c>
    </row>
    <row r="44" spans="1:12">
      <c r="A44" s="8" t="s">
        <v>94</v>
      </c>
      <c r="B44" s="14" t="s">
        <v>95</v>
      </c>
      <c r="C44" s="36" t="s">
        <v>96</v>
      </c>
      <c r="D44" s="28">
        <f>(((1.063*838.745224542495)*1.07)*1.09)*1.05</f>
        <v>1091.8498020917534</v>
      </c>
      <c r="E44" s="17">
        <f t="shared" si="0"/>
        <v>1.0598549023010882E-2</v>
      </c>
      <c r="F44" s="30"/>
    </row>
    <row r="45" spans="1:12">
      <c r="A45" s="8" t="s">
        <v>97</v>
      </c>
      <c r="B45" s="14" t="s">
        <v>76</v>
      </c>
      <c r="C45" s="36" t="s">
        <v>77</v>
      </c>
      <c r="D45" s="28">
        <f>(((1.063*18.9463359398788)*1.07)*1.09)*1.05</f>
        <v>24.663691119796606</v>
      </c>
      <c r="E45" s="29">
        <f t="shared" si="0"/>
        <v>2.3940961377725821E-4</v>
      </c>
    </row>
    <row r="46" spans="1:12" s="42" customFormat="1">
      <c r="A46" s="20" t="s">
        <v>98</v>
      </c>
      <c r="B46" s="39" t="s">
        <v>99</v>
      </c>
      <c r="C46" s="40" t="s">
        <v>100</v>
      </c>
      <c r="D46" s="28">
        <f>(((1.063*12644.04)*1.07)*1.09)*1.05</f>
        <v>16459.578150409801</v>
      </c>
      <c r="E46" s="17">
        <f t="shared" si="0"/>
        <v>0.15977256724413216</v>
      </c>
      <c r="F46" s="41"/>
    </row>
    <row r="47" spans="1:12" ht="45">
      <c r="A47" s="8" t="s">
        <v>101</v>
      </c>
      <c r="B47" s="43" t="s">
        <v>102</v>
      </c>
      <c r="C47" s="44" t="s">
        <v>103</v>
      </c>
      <c r="D47" s="19">
        <f>(((1.1*195259.69)*1.1)*1.09)*1.05</f>
        <v>270404.40539805009</v>
      </c>
      <c r="E47" s="12">
        <f t="shared" si="0"/>
        <v>2.6248063984248513</v>
      </c>
    </row>
    <row r="48" spans="1:12" ht="28.5">
      <c r="A48" s="8" t="s">
        <v>104</v>
      </c>
      <c r="B48" s="9" t="s">
        <v>105</v>
      </c>
      <c r="C48" s="45" t="s">
        <v>106</v>
      </c>
      <c r="D48" s="19">
        <f>(((1.1*121683.48)*1.1)*1.09)*1.05</f>
        <v>168512.75886060006</v>
      </c>
      <c r="E48" s="12">
        <f t="shared" si="0"/>
        <v>1.6357476388833891</v>
      </c>
      <c r="F48" s="3">
        <v>152889.88</v>
      </c>
    </row>
    <row r="49" spans="1:6" ht="28.5">
      <c r="A49" s="8" t="s">
        <v>107</v>
      </c>
      <c r="B49" s="9" t="s">
        <v>108</v>
      </c>
      <c r="C49" s="45" t="s">
        <v>109</v>
      </c>
      <c r="D49" s="19">
        <f>(((1.1*76606.2)*1.1)*1.09)*1.05</f>
        <v>106087.71303900004</v>
      </c>
      <c r="E49" s="12">
        <f t="shared" si="0"/>
        <v>1.029789834855386</v>
      </c>
    </row>
    <row r="50" spans="1:6">
      <c r="A50" s="8" t="s">
        <v>110</v>
      </c>
      <c r="B50" s="9" t="s">
        <v>111</v>
      </c>
      <c r="C50" s="45" t="s">
        <v>112</v>
      </c>
      <c r="D50" s="19">
        <f>(((1.1*4966.63)*1.1)*1.09)*1.05</f>
        <v>6878.0127223500022</v>
      </c>
      <c r="E50" s="12">
        <f t="shared" si="0"/>
        <v>6.6764636380447093E-2</v>
      </c>
    </row>
    <row r="51" spans="1:6">
      <c r="A51" s="8" t="s">
        <v>113</v>
      </c>
      <c r="B51" s="9" t="s">
        <v>114</v>
      </c>
      <c r="C51" s="45" t="s">
        <v>115</v>
      </c>
      <c r="D51" s="19">
        <f>(131471.901*1.09)*1.05</f>
        <v>150469.59069450002</v>
      </c>
      <c r="E51" s="12">
        <f t="shared" si="0"/>
        <v>1.4606032170293193</v>
      </c>
    </row>
    <row r="52" spans="1:6" ht="30">
      <c r="A52" s="8" t="s">
        <v>116</v>
      </c>
      <c r="B52" s="9" t="s">
        <v>117</v>
      </c>
      <c r="C52" s="45" t="s">
        <v>118</v>
      </c>
      <c r="D52" s="19">
        <f>((12*1.18*4342)*1.09)*1.05</f>
        <v>70366.973040000012</v>
      </c>
      <c r="E52" s="12">
        <f t="shared" si="0"/>
        <v>0.68304982236252043</v>
      </c>
    </row>
    <row r="53" spans="1:6" ht="30">
      <c r="A53" s="8" t="s">
        <v>119</v>
      </c>
      <c r="B53" s="9" t="s">
        <v>120</v>
      </c>
      <c r="C53" s="45" t="s">
        <v>118</v>
      </c>
      <c r="D53" s="19">
        <f>((3743*12*1.18)*1.09)*1.05</f>
        <v>60659.507160000008</v>
      </c>
      <c r="E53" s="12">
        <f t="shared" si="0"/>
        <v>0.58881978007897595</v>
      </c>
      <c r="F53" s="3" t="s">
        <v>121</v>
      </c>
    </row>
    <row r="54" spans="1:6" ht="44.25">
      <c r="A54" s="8" t="s">
        <v>122</v>
      </c>
      <c r="B54" s="9" t="s">
        <v>123</v>
      </c>
      <c r="C54" s="45" t="s">
        <v>139</v>
      </c>
      <c r="D54" s="11">
        <f>9440*C7*1.1*1.18*0</f>
        <v>0</v>
      </c>
      <c r="E54" s="12">
        <f t="shared" si="0"/>
        <v>0</v>
      </c>
    </row>
    <row r="55" spans="1:6" ht="42.75">
      <c r="A55" s="8" t="s">
        <v>124</v>
      </c>
      <c r="B55" s="9" t="s">
        <v>125</v>
      </c>
      <c r="C55" s="45" t="s">
        <v>140</v>
      </c>
      <c r="D55" s="19">
        <f>7000*2*0</f>
        <v>0</v>
      </c>
      <c r="E55" s="12">
        <f t="shared" si="0"/>
        <v>0</v>
      </c>
    </row>
    <row r="56" spans="1:6">
      <c r="A56" s="60" t="s">
        <v>142</v>
      </c>
      <c r="B56" s="64" t="s">
        <v>141</v>
      </c>
      <c r="C56" s="61" t="s">
        <v>143</v>
      </c>
      <c r="D56" s="62">
        <f>энергосбер74!C24</f>
        <v>81454.918085106387</v>
      </c>
      <c r="E56" s="63">
        <f t="shared" si="0"/>
        <v>0.79068012911338892</v>
      </c>
    </row>
    <row r="57" spans="1:6">
      <c r="A57" s="46"/>
      <c r="B57" s="9" t="s">
        <v>126</v>
      </c>
      <c r="C57" s="31"/>
      <c r="D57" s="47">
        <f>D15+D17+D18+D19+D28+D47+D48+D49+D50+D51+D52+D53+D54+D55+D56</f>
        <v>2237335.4114987375</v>
      </c>
      <c r="E57" s="47">
        <f>D57/12/$C$8</f>
        <v>21.71773900976072</v>
      </c>
      <c r="F57" s="30"/>
    </row>
    <row r="58" spans="1:6" ht="114.75" customHeight="1">
      <c r="A58" s="20"/>
      <c r="B58" s="21" t="s">
        <v>127</v>
      </c>
      <c r="C58" s="48" t="s">
        <v>128</v>
      </c>
      <c r="D58" s="47">
        <f>D57*20%</f>
        <v>447467.0822997475</v>
      </c>
      <c r="E58" s="47">
        <f>D58/12/$C$8</f>
        <v>4.3435478019521438</v>
      </c>
    </row>
    <row r="59" spans="1:6" ht="28.5">
      <c r="A59" s="20"/>
      <c r="B59" s="21" t="s">
        <v>129</v>
      </c>
      <c r="C59" s="48"/>
      <c r="D59" s="47">
        <f>D58+D57</f>
        <v>2684802.493798485</v>
      </c>
      <c r="E59" s="47">
        <f>D59/12/$C$8</f>
        <v>26.061286811712865</v>
      </c>
    </row>
    <row r="60" spans="1:6">
      <c r="A60" s="97" t="s">
        <v>130</v>
      </c>
      <c r="B60" s="97"/>
      <c r="C60" s="97"/>
      <c r="D60" s="97"/>
      <c r="E60" s="97"/>
      <c r="F60" s="30"/>
    </row>
    <row r="61" spans="1:6" ht="42.75">
      <c r="A61" s="8" t="s">
        <v>14</v>
      </c>
      <c r="B61" s="9" t="s">
        <v>131</v>
      </c>
      <c r="C61" s="49"/>
      <c r="D61" s="19">
        <f>E61*12*C8</f>
        <v>58952.508300000009</v>
      </c>
      <c r="E61" s="12">
        <f>1.09*0.5*1.05</f>
        <v>0.57225000000000004</v>
      </c>
    </row>
    <row r="62" spans="1:6">
      <c r="B62" s="50"/>
      <c r="C62" s="51"/>
    </row>
    <row r="63" spans="1:6" ht="15.75" hidden="1">
      <c r="B63" s="50"/>
      <c r="C63" s="54">
        <v>2017</v>
      </c>
      <c r="D63" s="54">
        <v>2016</v>
      </c>
      <c r="E63" s="54" t="s">
        <v>132</v>
      </c>
    </row>
    <row r="64" spans="1:6" ht="15.75" hidden="1">
      <c r="B64" s="50"/>
      <c r="C64" s="55">
        <f>E58+E57</f>
        <v>26.061286811712865</v>
      </c>
      <c r="D64" s="55">
        <v>24.37</v>
      </c>
      <c r="E64" s="56">
        <f>C64/D64-100%</f>
        <v>6.9400361580339132E-2</v>
      </c>
    </row>
    <row r="65" spans="1:5">
      <c r="B65" s="50"/>
      <c r="C65" s="51"/>
    </row>
    <row r="66" spans="1:5">
      <c r="B66" s="50"/>
      <c r="C66" s="51"/>
    </row>
    <row r="67" spans="1:5">
      <c r="B67" s="57" t="s">
        <v>133</v>
      </c>
      <c r="C67" s="51"/>
      <c r="D67" s="3"/>
      <c r="E67" s="52" t="s">
        <v>134</v>
      </c>
    </row>
    <row r="68" spans="1:5">
      <c r="B68" s="57"/>
      <c r="C68" s="51"/>
      <c r="D68" s="3"/>
      <c r="E68" s="52"/>
    </row>
    <row r="69" spans="1:5">
      <c r="B69" s="50"/>
      <c r="C69" s="51"/>
      <c r="D69" s="3"/>
      <c r="E69" s="52"/>
    </row>
    <row r="70" spans="1:5">
      <c r="B70" s="57" t="s">
        <v>135</v>
      </c>
      <c r="C70" s="51"/>
      <c r="D70" s="3"/>
      <c r="E70" s="52" t="s">
        <v>136</v>
      </c>
    </row>
    <row r="71" spans="1:5">
      <c r="B71" s="57"/>
      <c r="C71" s="51"/>
    </row>
    <row r="72" spans="1:5" ht="60.75" customHeight="1">
      <c r="A72" s="99" t="s">
        <v>138</v>
      </c>
      <c r="B72" s="99"/>
      <c r="C72" s="99"/>
      <c r="D72" s="99"/>
      <c r="E72" s="99"/>
    </row>
    <row r="73" spans="1:5">
      <c r="B73" s="50"/>
      <c r="C73" s="51"/>
    </row>
    <row r="74" spans="1:5">
      <c r="B74" s="50"/>
      <c r="C74" s="51"/>
    </row>
    <row r="75" spans="1:5">
      <c r="B75" s="50"/>
      <c r="C75" s="51"/>
    </row>
    <row r="76" spans="1:5">
      <c r="B76" s="50"/>
      <c r="C76" s="51"/>
    </row>
    <row r="77" spans="1:5">
      <c r="B77" s="50"/>
      <c r="C77" s="51"/>
    </row>
    <row r="78" spans="1:5">
      <c r="B78" s="50"/>
      <c r="C78" s="51"/>
    </row>
    <row r="79" spans="1:5">
      <c r="B79" s="50"/>
      <c r="C79" s="51"/>
    </row>
    <row r="80" spans="1:5">
      <c r="B80" s="50"/>
      <c r="C80" s="51"/>
    </row>
    <row r="81" spans="1:8">
      <c r="B81" s="50"/>
      <c r="C81" s="51"/>
    </row>
    <row r="82" spans="1:8">
      <c r="B82" s="50"/>
      <c r="C82" s="51"/>
    </row>
    <row r="83" spans="1:8">
      <c r="B83" s="50"/>
      <c r="C83" s="51"/>
    </row>
    <row r="84" spans="1:8" s="52" customFormat="1">
      <c r="A84" s="1"/>
      <c r="B84" s="50"/>
      <c r="C84" s="51"/>
      <c r="E84" s="53"/>
      <c r="F84" s="3"/>
      <c r="G84" s="3"/>
      <c r="H84" s="3"/>
    </row>
    <row r="85" spans="1:8" s="52" customFormat="1">
      <c r="A85" s="1"/>
      <c r="B85" s="50"/>
      <c r="C85" s="51"/>
      <c r="E85" s="53"/>
      <c r="F85" s="3"/>
      <c r="G85" s="3"/>
      <c r="H85" s="3"/>
    </row>
    <row r="86" spans="1:8" s="52" customFormat="1">
      <c r="A86" s="1"/>
      <c r="B86" s="50"/>
      <c r="C86" s="51"/>
      <c r="E86" s="53"/>
      <c r="F86" s="3"/>
      <c r="G86" s="3"/>
      <c r="H86" s="3"/>
    </row>
    <row r="87" spans="1:8" s="52" customFormat="1">
      <c r="A87" s="1"/>
      <c r="B87" s="50"/>
      <c r="C87" s="51"/>
      <c r="E87" s="53"/>
      <c r="F87" s="3"/>
      <c r="G87" s="3"/>
      <c r="H87" s="3"/>
    </row>
    <row r="88" spans="1:8" s="52" customFormat="1">
      <c r="A88" s="1"/>
      <c r="B88" s="50"/>
      <c r="C88" s="51"/>
      <c r="E88" s="53"/>
      <c r="F88" s="3"/>
      <c r="G88" s="3"/>
      <c r="H88" s="3"/>
    </row>
    <row r="89" spans="1:8" s="52" customFormat="1">
      <c r="A89" s="1"/>
      <c r="B89" s="50"/>
      <c r="C89" s="51"/>
      <c r="E89" s="53"/>
      <c r="F89" s="3"/>
      <c r="G89" s="3"/>
      <c r="H89" s="3"/>
    </row>
    <row r="90" spans="1:8" s="52" customFormat="1">
      <c r="A90" s="1"/>
      <c r="B90" s="50"/>
      <c r="C90" s="51"/>
      <c r="E90" s="53"/>
      <c r="F90" s="3"/>
      <c r="G90" s="3"/>
      <c r="H90" s="3"/>
    </row>
    <row r="91" spans="1:8" s="52" customFormat="1">
      <c r="A91" s="1"/>
      <c r="B91" s="50"/>
      <c r="C91" s="51"/>
      <c r="E91" s="53"/>
      <c r="F91" s="3"/>
      <c r="G91" s="3"/>
      <c r="H91" s="3"/>
    </row>
    <row r="92" spans="1:8" s="52" customFormat="1">
      <c r="A92" s="1"/>
      <c r="B92" s="50"/>
      <c r="C92" s="51"/>
      <c r="E92" s="53"/>
      <c r="F92" s="3"/>
      <c r="G92" s="3"/>
      <c r="H92" s="3"/>
    </row>
    <row r="93" spans="1:8" s="52" customFormat="1">
      <c r="A93" s="1"/>
      <c r="B93" s="50"/>
      <c r="C93" s="51"/>
      <c r="E93" s="53"/>
      <c r="F93" s="3"/>
      <c r="G93" s="3"/>
      <c r="H93" s="3"/>
    </row>
    <row r="94" spans="1:8" s="52" customFormat="1">
      <c r="A94" s="1"/>
      <c r="B94" s="50"/>
      <c r="C94" s="51"/>
      <c r="E94" s="53"/>
      <c r="F94" s="3"/>
      <c r="G94" s="3"/>
      <c r="H94" s="3"/>
    </row>
    <row r="95" spans="1:8" s="52" customFormat="1">
      <c r="A95" s="1"/>
      <c r="B95" s="50"/>
      <c r="C95" s="51"/>
      <c r="E95" s="53"/>
      <c r="F95" s="3"/>
      <c r="G95" s="3"/>
      <c r="H95" s="3"/>
    </row>
    <row r="96" spans="1:8" s="52" customFormat="1">
      <c r="A96" s="1"/>
      <c r="B96" s="50"/>
      <c r="C96" s="51"/>
      <c r="E96" s="53"/>
      <c r="F96" s="3"/>
      <c r="G96" s="3"/>
      <c r="H96" s="3"/>
    </row>
    <row r="97" spans="1:8" s="52" customFormat="1">
      <c r="A97" s="1"/>
      <c r="B97" s="50"/>
      <c r="C97" s="51"/>
      <c r="E97" s="53"/>
      <c r="F97" s="3"/>
      <c r="G97" s="3"/>
      <c r="H97" s="3"/>
    </row>
    <row r="98" spans="1:8" s="52" customFormat="1">
      <c r="A98" s="1"/>
      <c r="B98" s="50"/>
      <c r="C98" s="51"/>
      <c r="E98" s="53"/>
      <c r="F98" s="3"/>
      <c r="G98" s="3"/>
      <c r="H98" s="3"/>
    </row>
    <row r="99" spans="1:8" s="52" customFormat="1">
      <c r="A99" s="1"/>
      <c r="B99" s="50"/>
      <c r="C99" s="51"/>
      <c r="E99" s="53"/>
      <c r="F99" s="3"/>
      <c r="G99" s="3"/>
      <c r="H99" s="3"/>
    </row>
    <row r="100" spans="1:8" s="52" customFormat="1">
      <c r="A100" s="1"/>
      <c r="B100" s="50"/>
      <c r="C100" s="51"/>
      <c r="E100" s="53"/>
      <c r="F100" s="3"/>
      <c r="G100" s="3"/>
      <c r="H100" s="3"/>
    </row>
    <row r="101" spans="1:8" s="52" customFormat="1">
      <c r="A101" s="1"/>
      <c r="B101" s="50"/>
      <c r="C101" s="51"/>
      <c r="E101" s="53"/>
      <c r="F101" s="3"/>
      <c r="G101" s="3"/>
      <c r="H101" s="3"/>
    </row>
    <row r="102" spans="1:8" s="52" customFormat="1">
      <c r="A102" s="1"/>
      <c r="B102" s="50"/>
      <c r="C102" s="51"/>
      <c r="E102" s="53"/>
      <c r="F102" s="3"/>
      <c r="G102" s="3"/>
      <c r="H102" s="3"/>
    </row>
    <row r="103" spans="1:8" s="52" customFormat="1">
      <c r="A103" s="1"/>
      <c r="B103" s="50"/>
      <c r="C103" s="51"/>
      <c r="E103" s="53"/>
      <c r="F103" s="3"/>
      <c r="G103" s="3"/>
      <c r="H103" s="3"/>
    </row>
    <row r="104" spans="1:8" s="52" customFormat="1">
      <c r="A104" s="1"/>
      <c r="B104" s="50"/>
      <c r="C104" s="51"/>
      <c r="E104" s="53"/>
      <c r="F104" s="3"/>
      <c r="G104" s="3"/>
      <c r="H104" s="3"/>
    </row>
    <row r="105" spans="1:8" s="52" customFormat="1">
      <c r="A105" s="1"/>
      <c r="B105" s="50"/>
      <c r="C105" s="51"/>
      <c r="E105" s="53"/>
      <c r="F105" s="3"/>
      <c r="G105" s="3"/>
      <c r="H105" s="3"/>
    </row>
    <row r="106" spans="1:8" s="52" customFormat="1">
      <c r="A106" s="1"/>
      <c r="B106" s="50"/>
      <c r="C106" s="51"/>
      <c r="E106" s="53"/>
      <c r="F106" s="3"/>
      <c r="G106" s="3"/>
      <c r="H106" s="3"/>
    </row>
    <row r="107" spans="1:8" s="52" customFormat="1">
      <c r="A107" s="1"/>
      <c r="B107" s="50"/>
      <c r="C107" s="51"/>
      <c r="E107" s="53"/>
      <c r="F107" s="3"/>
      <c r="G107" s="3"/>
      <c r="H107" s="3"/>
    </row>
    <row r="108" spans="1:8" s="52" customFormat="1">
      <c r="A108" s="1"/>
      <c r="B108" s="50"/>
      <c r="C108" s="51"/>
      <c r="E108" s="53"/>
      <c r="F108" s="3"/>
      <c r="G108" s="3"/>
      <c r="H108" s="3"/>
    </row>
    <row r="109" spans="1:8" s="52" customFormat="1">
      <c r="A109" s="1"/>
      <c r="B109" s="50"/>
      <c r="C109" s="51"/>
      <c r="E109" s="53"/>
      <c r="F109" s="3"/>
      <c r="G109" s="3"/>
      <c r="H109" s="3"/>
    </row>
  </sheetData>
  <mergeCells count="22">
    <mergeCell ref="A60:E60"/>
    <mergeCell ref="A72:E72"/>
    <mergeCell ref="H18:L18"/>
    <mergeCell ref="A11:B11"/>
    <mergeCell ref="C11:E11"/>
    <mergeCell ref="A12:B12"/>
    <mergeCell ref="C12:E12"/>
    <mergeCell ref="A13:B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C2:E2"/>
    <mergeCell ref="C3:E3"/>
    <mergeCell ref="A5:E5"/>
    <mergeCell ref="A6:B6"/>
    <mergeCell ref="C6:E6"/>
  </mergeCells>
  <pageMargins left="0.55118110236220474" right="0.35433070866141736" top="0.55118110236220474" bottom="0.35433070866141736" header="0.15748031496062992" footer="0.31496062992125984"/>
  <pageSetup scale="58" orientation="portrait" r:id="rId1"/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06"/>
  <sheetViews>
    <sheetView tabSelected="1" view="pageBreakPreview" zoomScale="85" zoomScaleSheetLayoutView="85" workbookViewId="0">
      <selection activeCell="A4" sqref="A4:E4"/>
    </sheetView>
  </sheetViews>
  <sheetFormatPr defaultRowHeight="15"/>
  <cols>
    <col min="1" max="1" width="7" style="1" customWidth="1"/>
    <col min="2" max="2" width="44.85546875" style="58" customWidth="1"/>
    <col min="3" max="3" width="69.28515625" style="59" customWidth="1"/>
    <col min="4" max="4" width="18.28515625" style="52" customWidth="1"/>
    <col min="5" max="5" width="18.28515625" style="53" customWidth="1"/>
    <col min="6" max="6" width="11.42578125" style="3" hidden="1" customWidth="1"/>
    <col min="7" max="16384" width="9.140625" style="3"/>
  </cols>
  <sheetData>
    <row r="1" spans="1:5">
      <c r="B1" s="2"/>
      <c r="C1" s="94" t="s">
        <v>0</v>
      </c>
      <c r="D1" s="94"/>
      <c r="E1" s="94"/>
    </row>
    <row r="2" spans="1:5">
      <c r="B2" s="2"/>
      <c r="C2" s="94" t="s">
        <v>1</v>
      </c>
      <c r="D2" s="94"/>
      <c r="E2" s="94"/>
    </row>
    <row r="3" spans="1:5">
      <c r="B3" s="2"/>
      <c r="C3" s="4"/>
      <c r="D3" s="5"/>
      <c r="E3" s="5"/>
    </row>
    <row r="4" spans="1:5" ht="105.75" customHeight="1">
      <c r="A4" s="95" t="s">
        <v>188</v>
      </c>
      <c r="B4" s="95"/>
      <c r="C4" s="95"/>
      <c r="D4" s="95"/>
      <c r="E4" s="96"/>
    </row>
    <row r="5" spans="1:5">
      <c r="A5" s="92" t="s">
        <v>2</v>
      </c>
      <c r="B5" s="92"/>
      <c r="C5" s="97" t="s">
        <v>3</v>
      </c>
      <c r="D5" s="97"/>
      <c r="E5" s="97"/>
    </row>
    <row r="6" spans="1:5">
      <c r="A6" s="92" t="s">
        <v>4</v>
      </c>
      <c r="B6" s="92"/>
      <c r="C6" s="93">
        <v>2</v>
      </c>
      <c r="D6" s="93"/>
      <c r="E6" s="93"/>
    </row>
    <row r="7" spans="1:5">
      <c r="A7" s="93" t="s">
        <v>5</v>
      </c>
      <c r="B7" s="93"/>
      <c r="C7" s="100">
        <v>8584.9</v>
      </c>
      <c r="D7" s="100"/>
      <c r="E7" s="100"/>
    </row>
    <row r="8" spans="1:5">
      <c r="A8" s="93" t="s">
        <v>6</v>
      </c>
      <c r="B8" s="93"/>
      <c r="C8" s="100">
        <v>8027.2</v>
      </c>
      <c r="D8" s="100"/>
      <c r="E8" s="100"/>
    </row>
    <row r="9" spans="1:5">
      <c r="A9" s="93" t="s">
        <v>7</v>
      </c>
      <c r="B9" s="93"/>
      <c r="C9" s="100">
        <v>557.70000000000005</v>
      </c>
      <c r="D9" s="100"/>
      <c r="E9" s="100"/>
    </row>
    <row r="10" spans="1:5">
      <c r="A10" s="93" t="s">
        <v>168</v>
      </c>
      <c r="B10" s="93"/>
      <c r="C10" s="100">
        <v>940.5</v>
      </c>
      <c r="D10" s="100"/>
      <c r="E10" s="100"/>
    </row>
    <row r="11" spans="1:5">
      <c r="A11" s="93" t="s">
        <v>8</v>
      </c>
      <c r="B11" s="101"/>
      <c r="C11" s="100">
        <v>3417.1</v>
      </c>
      <c r="D11" s="100"/>
      <c r="E11" s="100"/>
    </row>
    <row r="12" spans="1:5" ht="60">
      <c r="A12" s="102" t="s">
        <v>9</v>
      </c>
      <c r="B12" s="102"/>
      <c r="C12" s="6" t="s">
        <v>10</v>
      </c>
      <c r="D12" s="7" t="s">
        <v>11</v>
      </c>
      <c r="E12" s="7" t="s">
        <v>12</v>
      </c>
    </row>
    <row r="13" spans="1:5">
      <c r="A13" s="98" t="s">
        <v>13</v>
      </c>
      <c r="B13" s="98"/>
      <c r="C13" s="98"/>
      <c r="D13" s="98"/>
      <c r="E13" s="98"/>
    </row>
    <row r="14" spans="1:5" ht="112.5">
      <c r="A14" s="8" t="s">
        <v>14</v>
      </c>
      <c r="B14" s="9" t="s">
        <v>15</v>
      </c>
      <c r="C14" s="10" t="s">
        <v>16</v>
      </c>
      <c r="D14" s="11">
        <v>207126.68818926843</v>
      </c>
      <c r="E14" s="12">
        <v>2.0105717421409341</v>
      </c>
    </row>
    <row r="15" spans="1:5" ht="104.25">
      <c r="A15" s="13" t="s">
        <v>17</v>
      </c>
      <c r="B15" s="14" t="s">
        <v>18</v>
      </c>
      <c r="C15" s="15" t="s">
        <v>19</v>
      </c>
      <c r="D15" s="16">
        <v>4504.5</v>
      </c>
      <c r="E15" s="17">
        <v>4.3725028829689337E-2</v>
      </c>
    </row>
    <row r="16" spans="1:5" ht="90">
      <c r="A16" s="8" t="s">
        <v>20</v>
      </c>
      <c r="B16" s="9" t="s">
        <v>21</v>
      </c>
      <c r="C16" s="10" t="s">
        <v>22</v>
      </c>
      <c r="D16" s="11">
        <v>130725.11877303038</v>
      </c>
      <c r="E16" s="12">
        <v>1.2689442972838976</v>
      </c>
    </row>
    <row r="17" spans="1:6" ht="30">
      <c r="A17" s="8" t="s">
        <v>23</v>
      </c>
      <c r="B17" s="9" t="s">
        <v>24</v>
      </c>
      <c r="C17" s="18" t="s">
        <v>25</v>
      </c>
      <c r="D17" s="19">
        <v>130676.72591688645</v>
      </c>
      <c r="E17" s="12">
        <v>1.26847454946948</v>
      </c>
    </row>
    <row r="18" spans="1:6" ht="28.5">
      <c r="A18" s="20" t="s">
        <v>26</v>
      </c>
      <c r="B18" s="21" t="s">
        <v>27</v>
      </c>
      <c r="C18" s="22"/>
      <c r="D18" s="19">
        <v>145784.68069426276</v>
      </c>
      <c r="E18" s="12">
        <v>1.4151269544419345</v>
      </c>
    </row>
    <row r="19" spans="1:6" ht="45" customHeight="1">
      <c r="A19" s="8" t="s">
        <v>28</v>
      </c>
      <c r="B19" s="14" t="s">
        <v>29</v>
      </c>
      <c r="C19" s="23" t="s">
        <v>30</v>
      </c>
      <c r="D19" s="24">
        <v>129878.29438941204</v>
      </c>
      <c r="E19" s="17">
        <v>1.2607242016933999</v>
      </c>
    </row>
    <row r="20" spans="1:6">
      <c r="A20" s="8" t="s">
        <v>31</v>
      </c>
      <c r="B20" s="14" t="s">
        <v>32</v>
      </c>
      <c r="C20" s="23" t="s">
        <v>33</v>
      </c>
      <c r="D20" s="24">
        <v>13381.628723291995</v>
      </c>
      <c r="E20" s="17">
        <v>0.12989501647555587</v>
      </c>
    </row>
    <row r="21" spans="1:6" ht="30">
      <c r="A21" s="8" t="s">
        <v>34</v>
      </c>
      <c r="B21" s="25" t="s">
        <v>35</v>
      </c>
      <c r="C21" s="26" t="s">
        <v>36</v>
      </c>
      <c r="D21" s="24">
        <v>382.19218384198518</v>
      </c>
      <c r="E21" s="27">
        <v>3.7099265749745212E-3</v>
      </c>
    </row>
    <row r="22" spans="1:6" ht="75">
      <c r="A22" s="8" t="s">
        <v>37</v>
      </c>
      <c r="B22" s="14" t="s">
        <v>38</v>
      </c>
      <c r="C22" s="23" t="s">
        <v>39</v>
      </c>
      <c r="D22" s="28">
        <v>872.13438253377092</v>
      </c>
      <c r="E22" s="17">
        <v>8.4657788921417357E-3</v>
      </c>
    </row>
    <row r="23" spans="1:6" ht="45">
      <c r="A23" s="8" t="s">
        <v>40</v>
      </c>
      <c r="B23" s="14" t="s">
        <v>41</v>
      </c>
      <c r="C23" s="23" t="s">
        <v>42</v>
      </c>
      <c r="D23" s="28">
        <v>243.27249927143467</v>
      </c>
      <c r="E23" s="27">
        <v>2.3614379052312269E-3</v>
      </c>
    </row>
    <row r="24" spans="1:6">
      <c r="A24" s="8" t="s">
        <v>43</v>
      </c>
      <c r="B24" s="14" t="s">
        <v>44</v>
      </c>
      <c r="C24" s="23" t="s">
        <v>45</v>
      </c>
      <c r="D24" s="28">
        <v>40.271872651391753</v>
      </c>
      <c r="E24" s="29">
        <v>3.9091770289880834E-4</v>
      </c>
    </row>
    <row r="25" spans="1:6">
      <c r="A25" s="8" t="s">
        <v>46</v>
      </c>
      <c r="B25" s="14" t="s">
        <v>47</v>
      </c>
      <c r="C25" s="23" t="s">
        <v>45</v>
      </c>
      <c r="D25" s="28">
        <v>691.22989105952695</v>
      </c>
      <c r="E25" s="17">
        <v>6.7097451247687505E-3</v>
      </c>
      <c r="F25" s="30"/>
    </row>
    <row r="26" spans="1:6">
      <c r="A26" s="8" t="s">
        <v>48</v>
      </c>
      <c r="B26" s="14" t="s">
        <v>49</v>
      </c>
      <c r="C26" s="23" t="s">
        <v>50</v>
      </c>
      <c r="D26" s="28">
        <v>295.65675220060768</v>
      </c>
      <c r="E26" s="27">
        <v>2.8699300729634562E-3</v>
      </c>
    </row>
    <row r="27" spans="1:6" ht="28.5">
      <c r="A27" s="8" t="s">
        <v>51</v>
      </c>
      <c r="B27" s="9" t="s">
        <v>52</v>
      </c>
      <c r="C27" s="31"/>
      <c r="D27" s="19">
        <v>708188.31892568327</v>
      </c>
      <c r="E27" s="12">
        <v>6.8743600092961996</v>
      </c>
    </row>
    <row r="28" spans="1:6">
      <c r="A28" s="8" t="s">
        <v>53</v>
      </c>
      <c r="B28" s="32" t="s">
        <v>54</v>
      </c>
      <c r="C28" s="33"/>
      <c r="D28" s="34">
        <v>371540.69558483141</v>
      </c>
      <c r="E28" s="35">
        <v>3.6065329394715469</v>
      </c>
    </row>
    <row r="29" spans="1:6" ht="30">
      <c r="A29" s="8" t="s">
        <v>55</v>
      </c>
      <c r="B29" s="14" t="s">
        <v>56</v>
      </c>
      <c r="C29" s="36" t="s">
        <v>57</v>
      </c>
      <c r="D29" s="28">
        <v>152624.98110921969</v>
      </c>
      <c r="E29" s="17">
        <v>1.4815255187326946</v>
      </c>
    </row>
    <row r="30" spans="1:6" ht="30">
      <c r="A30" s="8" t="s">
        <v>58</v>
      </c>
      <c r="B30" s="14" t="s">
        <v>59</v>
      </c>
      <c r="C30" s="36" t="s">
        <v>60</v>
      </c>
      <c r="D30" s="28">
        <v>198019.20675086172</v>
      </c>
      <c r="E30" s="17">
        <v>1.9221657284967573</v>
      </c>
    </row>
    <row r="31" spans="1:6">
      <c r="A31" s="8" t="s">
        <v>61</v>
      </c>
      <c r="B31" s="14" t="s">
        <v>62</v>
      </c>
      <c r="C31" s="36" t="s">
        <v>63</v>
      </c>
      <c r="D31" s="28">
        <v>15849.51887068064</v>
      </c>
      <c r="E31" s="17">
        <v>0.15385074249244451</v>
      </c>
    </row>
    <row r="32" spans="1:6" ht="30">
      <c r="A32" s="8" t="s">
        <v>64</v>
      </c>
      <c r="B32" s="14" t="s">
        <v>65</v>
      </c>
      <c r="C32" s="36" t="s">
        <v>50</v>
      </c>
      <c r="D32" s="28">
        <v>945.64858700434991</v>
      </c>
      <c r="E32" s="17">
        <v>9.1793787833322656E-3</v>
      </c>
    </row>
    <row r="33" spans="1:6" ht="30">
      <c r="A33" s="8" t="s">
        <v>66</v>
      </c>
      <c r="B33" s="14" t="s">
        <v>67</v>
      </c>
      <c r="C33" s="36" t="s">
        <v>68</v>
      </c>
      <c r="D33" s="28">
        <v>799.12540697215798</v>
      </c>
      <c r="E33" s="17">
        <v>7.7570832408468942E-3</v>
      </c>
    </row>
    <row r="34" spans="1:6">
      <c r="A34" s="8" t="s">
        <v>69</v>
      </c>
      <c r="B34" s="14" t="s">
        <v>70</v>
      </c>
      <c r="C34" s="36" t="s">
        <v>71</v>
      </c>
      <c r="D34" s="28">
        <v>2397.4059657764087</v>
      </c>
      <c r="E34" s="17">
        <v>2.3271538454887931E-2</v>
      </c>
    </row>
    <row r="35" spans="1:6" ht="30">
      <c r="A35" s="8" t="s">
        <v>72</v>
      </c>
      <c r="B35" s="14" t="s">
        <v>73</v>
      </c>
      <c r="C35" s="36" t="s">
        <v>74</v>
      </c>
      <c r="D35" s="28">
        <v>881.19147552855623</v>
      </c>
      <c r="E35" s="17">
        <v>8.5536957868714864E-3</v>
      </c>
    </row>
    <row r="36" spans="1:6">
      <c r="A36" s="8" t="s">
        <v>75</v>
      </c>
      <c r="B36" s="14" t="s">
        <v>76</v>
      </c>
      <c r="C36" s="36" t="s">
        <v>77</v>
      </c>
      <c r="D36" s="28">
        <v>23.617418787161959</v>
      </c>
      <c r="E36" s="29">
        <v>2.2925348370551746E-4</v>
      </c>
    </row>
    <row r="37" spans="1:6">
      <c r="A37" s="8" t="s">
        <v>78</v>
      </c>
      <c r="B37" s="32" t="s">
        <v>79</v>
      </c>
      <c r="C37" s="37"/>
      <c r="D37" s="34">
        <v>336647.62334085209</v>
      </c>
      <c r="E37" s="35">
        <v>3.2678270698246541</v>
      </c>
    </row>
    <row r="38" spans="1:6" ht="30">
      <c r="A38" s="8" t="s">
        <v>80</v>
      </c>
      <c r="B38" s="14" t="s">
        <v>81</v>
      </c>
      <c r="C38" s="36" t="s">
        <v>82</v>
      </c>
      <c r="D38" s="28">
        <v>161142.43137460347</v>
      </c>
      <c r="E38" s="17">
        <v>1.5642041197781715</v>
      </c>
      <c r="F38" s="38"/>
    </row>
    <row r="39" spans="1:6" ht="30">
      <c r="A39" s="8" t="s">
        <v>83</v>
      </c>
      <c r="B39" s="14" t="s">
        <v>84</v>
      </c>
      <c r="C39" s="36" t="s">
        <v>85</v>
      </c>
      <c r="D39" s="28">
        <v>12557.111413803566</v>
      </c>
      <c r="E39" s="17">
        <v>0.12189145489758729</v>
      </c>
    </row>
    <row r="40" spans="1:6">
      <c r="A40" s="8" t="s">
        <v>86</v>
      </c>
      <c r="B40" s="14" t="s">
        <v>87</v>
      </c>
      <c r="C40" s="36" t="s">
        <v>88</v>
      </c>
      <c r="D40" s="28">
        <v>144188.97042482215</v>
      </c>
      <c r="E40" s="17">
        <v>1.3996374489396319</v>
      </c>
    </row>
    <row r="41" spans="1:6" ht="30">
      <c r="A41" s="8" t="s">
        <v>89</v>
      </c>
      <c r="B41" s="14" t="s">
        <v>90</v>
      </c>
      <c r="C41" s="36" t="s">
        <v>91</v>
      </c>
      <c r="D41" s="28">
        <v>91.510370326096847</v>
      </c>
      <c r="E41" s="27">
        <v>8.8828806320882065E-4</v>
      </c>
    </row>
    <row r="42" spans="1:6">
      <c r="A42" s="8" t="s">
        <v>92</v>
      </c>
      <c r="B42" s="14" t="s">
        <v>93</v>
      </c>
      <c r="C42" s="36" t="s">
        <v>71</v>
      </c>
      <c r="D42" s="28">
        <v>1091.508113675736</v>
      </c>
      <c r="E42" s="17">
        <v>1.0595232265137393E-2</v>
      </c>
    </row>
    <row r="43" spans="1:6">
      <c r="A43" s="8" t="s">
        <v>94</v>
      </c>
      <c r="B43" s="14" t="s">
        <v>95</v>
      </c>
      <c r="C43" s="36" t="s">
        <v>96</v>
      </c>
      <c r="D43" s="28">
        <v>1091.8498020917534</v>
      </c>
      <c r="E43" s="17">
        <v>1.0598549023010882E-2</v>
      </c>
      <c r="F43" s="30"/>
    </row>
    <row r="44" spans="1:6">
      <c r="A44" s="8" t="s">
        <v>97</v>
      </c>
      <c r="B44" s="14" t="s">
        <v>76</v>
      </c>
      <c r="C44" s="36" t="s">
        <v>77</v>
      </c>
      <c r="D44" s="28">
        <v>24.663691119796606</v>
      </c>
      <c r="E44" s="29">
        <v>2.3940961377725821E-4</v>
      </c>
    </row>
    <row r="45" spans="1:6" s="42" customFormat="1">
      <c r="A45" s="20" t="s">
        <v>98</v>
      </c>
      <c r="B45" s="39" t="s">
        <v>99</v>
      </c>
      <c r="C45" s="40" t="s">
        <v>100</v>
      </c>
      <c r="D45" s="28">
        <v>16459.578150409801</v>
      </c>
      <c r="E45" s="17">
        <v>0.15977256724413216</v>
      </c>
      <c r="F45" s="41"/>
    </row>
    <row r="46" spans="1:6" ht="45">
      <c r="A46" s="8" t="s">
        <v>101</v>
      </c>
      <c r="B46" s="43" t="s">
        <v>102</v>
      </c>
      <c r="C46" s="44" t="s">
        <v>103</v>
      </c>
      <c r="D46" s="19">
        <v>270404.40539805009</v>
      </c>
      <c r="E46" s="12">
        <v>2.6248063984248513</v>
      </c>
    </row>
    <row r="47" spans="1:6" ht="28.5">
      <c r="A47" s="8" t="s">
        <v>104</v>
      </c>
      <c r="B47" s="9" t="s">
        <v>105</v>
      </c>
      <c r="C47" s="45" t="s">
        <v>106</v>
      </c>
      <c r="D47" s="19">
        <v>168512.75886060006</v>
      </c>
      <c r="E47" s="12">
        <v>1.6357476388833891</v>
      </c>
      <c r="F47" s="3">
        <v>152889.88</v>
      </c>
    </row>
    <row r="48" spans="1:6" ht="28.5">
      <c r="A48" s="8" t="s">
        <v>107</v>
      </c>
      <c r="B48" s="9" t="s">
        <v>108</v>
      </c>
      <c r="C48" s="45" t="s">
        <v>109</v>
      </c>
      <c r="D48" s="19">
        <v>106087.71303900004</v>
      </c>
      <c r="E48" s="12">
        <v>1.029789834855386</v>
      </c>
    </row>
    <row r="49" spans="1:6">
      <c r="A49" s="8" t="s">
        <v>110</v>
      </c>
      <c r="B49" s="9" t="s">
        <v>111</v>
      </c>
      <c r="C49" s="45" t="s">
        <v>112</v>
      </c>
      <c r="D49" s="19">
        <v>6878.0127223500022</v>
      </c>
      <c r="E49" s="12">
        <v>6.6764636380447093E-2</v>
      </c>
    </row>
    <row r="50" spans="1:6">
      <c r="A50" s="8" t="s">
        <v>113</v>
      </c>
      <c r="B50" s="9" t="s">
        <v>114</v>
      </c>
      <c r="C50" s="45" t="s">
        <v>115</v>
      </c>
      <c r="D50" s="19">
        <v>150469.59069450002</v>
      </c>
      <c r="E50" s="12">
        <v>1.4606032170293193</v>
      </c>
    </row>
    <row r="51" spans="1:6" ht="30">
      <c r="A51" s="8" t="s">
        <v>116</v>
      </c>
      <c r="B51" s="9" t="s">
        <v>117</v>
      </c>
      <c r="C51" s="45" t="s">
        <v>118</v>
      </c>
      <c r="D51" s="19">
        <v>70366.973040000012</v>
      </c>
      <c r="E51" s="12">
        <v>0.68304982236252043</v>
      </c>
    </row>
    <row r="52" spans="1:6" ht="44.25">
      <c r="A52" s="8" t="s">
        <v>119</v>
      </c>
      <c r="B52" s="9" t="s">
        <v>120</v>
      </c>
      <c r="C52" s="45" t="s">
        <v>118</v>
      </c>
      <c r="D52" s="19">
        <v>60659.507160000008</v>
      </c>
      <c r="E52" s="12">
        <v>0.58881978007897595</v>
      </c>
      <c r="F52" s="3" t="s">
        <v>121</v>
      </c>
    </row>
    <row r="53" spans="1:6" ht="44.25">
      <c r="A53" s="8" t="s">
        <v>122</v>
      </c>
      <c r="B53" s="9" t="s">
        <v>123</v>
      </c>
      <c r="C53" s="45" t="s">
        <v>139</v>
      </c>
      <c r="D53" s="11">
        <v>0</v>
      </c>
      <c r="E53" s="12">
        <v>0</v>
      </c>
    </row>
    <row r="54" spans="1:6" ht="42.75">
      <c r="A54" s="8" t="s">
        <v>124</v>
      </c>
      <c r="B54" s="9" t="s">
        <v>125</v>
      </c>
      <c r="C54" s="45" t="s">
        <v>140</v>
      </c>
      <c r="D54" s="19">
        <v>0</v>
      </c>
      <c r="E54" s="12">
        <v>0</v>
      </c>
    </row>
    <row r="55" spans="1:6">
      <c r="A55" s="46"/>
      <c r="B55" s="9" t="s">
        <v>126</v>
      </c>
      <c r="C55" s="31"/>
      <c r="D55" s="47">
        <v>2155880.4934136313</v>
      </c>
      <c r="E55" s="47">
        <v>20.92705888064733</v>
      </c>
      <c r="F55" s="30"/>
    </row>
    <row r="56" spans="1:6" ht="114.75" customHeight="1">
      <c r="A56" s="20"/>
      <c r="B56" s="21" t="s">
        <v>127</v>
      </c>
      <c r="C56" s="48" t="s">
        <v>128</v>
      </c>
      <c r="D56" s="47">
        <v>431176.09868272627</v>
      </c>
      <c r="E56" s="47">
        <v>4.1854117761294667</v>
      </c>
    </row>
    <row r="57" spans="1:6" ht="28.5">
      <c r="A57" s="20"/>
      <c r="B57" s="21" t="s">
        <v>129</v>
      </c>
      <c r="C57" s="48"/>
      <c r="D57" s="47">
        <v>2587056.5920963576</v>
      </c>
      <c r="E57" s="47">
        <v>25.1124706567768</v>
      </c>
    </row>
    <row r="58" spans="1:6">
      <c r="A58" s="97" t="s">
        <v>130</v>
      </c>
      <c r="B58" s="97"/>
      <c r="C58" s="97"/>
      <c r="D58" s="97"/>
      <c r="E58" s="97"/>
      <c r="F58" s="30"/>
    </row>
    <row r="59" spans="1:6" ht="42.75">
      <c r="A59" s="8" t="s">
        <v>14</v>
      </c>
      <c r="B59" s="9" t="s">
        <v>131</v>
      </c>
      <c r="C59" s="49"/>
      <c r="D59" s="19">
        <v>58952.508300000009</v>
      </c>
      <c r="E59" s="12">
        <v>0.57225000000000004</v>
      </c>
    </row>
    <row r="60" spans="1:6" hidden="1">
      <c r="A60" s="60" t="s">
        <v>20</v>
      </c>
      <c r="B60" s="64" t="s">
        <v>141</v>
      </c>
      <c r="C60" s="61" t="s">
        <v>143</v>
      </c>
      <c r="D60" s="62">
        <v>87956.431340425523</v>
      </c>
      <c r="E60" s="63">
        <v>0.85379009792800464</v>
      </c>
    </row>
    <row r="61" spans="1:6">
      <c r="B61" s="50"/>
      <c r="C61" s="51"/>
    </row>
    <row r="62" spans="1:6">
      <c r="B62" s="50"/>
      <c r="C62" s="51"/>
    </row>
    <row r="63" spans="1:6">
      <c r="B63" s="50"/>
      <c r="C63" s="51"/>
    </row>
    <row r="64" spans="1:6">
      <c r="B64" s="57" t="s">
        <v>133</v>
      </c>
      <c r="C64" s="51"/>
      <c r="D64" s="3"/>
      <c r="E64" s="52" t="s">
        <v>134</v>
      </c>
    </row>
    <row r="65" spans="1:5">
      <c r="B65" s="57"/>
      <c r="C65" s="51"/>
      <c r="D65" s="3"/>
      <c r="E65" s="52"/>
    </row>
    <row r="66" spans="1:5">
      <c r="B66" s="50"/>
      <c r="C66" s="51"/>
      <c r="D66" s="3"/>
      <c r="E66" s="52"/>
    </row>
    <row r="67" spans="1:5">
      <c r="B67" s="57" t="s">
        <v>135</v>
      </c>
      <c r="C67" s="51"/>
      <c r="D67" s="3"/>
      <c r="E67" s="52" t="s">
        <v>136</v>
      </c>
    </row>
    <row r="68" spans="1:5">
      <c r="B68" s="57"/>
      <c r="C68" s="51"/>
    </row>
    <row r="69" spans="1:5">
      <c r="A69" s="99"/>
      <c r="B69" s="99"/>
      <c r="C69" s="99"/>
      <c r="D69" s="99"/>
      <c r="E69" s="99"/>
    </row>
    <row r="70" spans="1:5">
      <c r="B70" s="50"/>
      <c r="C70" s="51"/>
    </row>
    <row r="71" spans="1:5">
      <c r="B71" s="50"/>
      <c r="C71" s="51"/>
    </row>
    <row r="72" spans="1:5">
      <c r="B72" s="50"/>
      <c r="C72" s="51"/>
    </row>
    <row r="73" spans="1:5">
      <c r="B73" s="50"/>
      <c r="C73" s="51"/>
    </row>
    <row r="74" spans="1:5">
      <c r="B74" s="50"/>
      <c r="C74" s="51"/>
    </row>
    <row r="75" spans="1:5">
      <c r="B75" s="50"/>
      <c r="C75" s="51"/>
    </row>
    <row r="76" spans="1:5">
      <c r="B76" s="50"/>
      <c r="C76" s="51"/>
    </row>
    <row r="77" spans="1:5">
      <c r="B77" s="50"/>
      <c r="C77" s="51"/>
    </row>
    <row r="78" spans="1:5">
      <c r="B78" s="50"/>
      <c r="C78" s="51"/>
    </row>
    <row r="79" spans="1:5">
      <c r="B79" s="50"/>
      <c r="C79" s="51"/>
    </row>
    <row r="80" spans="1:5">
      <c r="B80" s="50"/>
      <c r="C80" s="51"/>
    </row>
    <row r="81" spans="1:6" s="52" customFormat="1">
      <c r="A81" s="1"/>
      <c r="B81" s="50"/>
      <c r="C81" s="51"/>
      <c r="E81" s="53"/>
      <c r="F81" s="3"/>
    </row>
    <row r="82" spans="1:6" s="52" customFormat="1">
      <c r="A82" s="1"/>
      <c r="B82" s="50"/>
      <c r="C82" s="51"/>
      <c r="E82" s="53"/>
      <c r="F82" s="3"/>
    </row>
    <row r="83" spans="1:6" s="52" customFormat="1">
      <c r="A83" s="1"/>
      <c r="B83" s="50"/>
      <c r="C83" s="51"/>
      <c r="E83" s="53"/>
      <c r="F83" s="3"/>
    </row>
    <row r="84" spans="1:6" s="52" customFormat="1">
      <c r="A84" s="1"/>
      <c r="B84" s="50"/>
      <c r="C84" s="51"/>
      <c r="E84" s="53"/>
      <c r="F84" s="3"/>
    </row>
    <row r="85" spans="1:6" s="52" customFormat="1">
      <c r="A85" s="1"/>
      <c r="B85" s="50"/>
      <c r="C85" s="51"/>
      <c r="E85" s="53"/>
      <c r="F85" s="3"/>
    </row>
    <row r="86" spans="1:6" s="52" customFormat="1">
      <c r="A86" s="1"/>
      <c r="B86" s="50"/>
      <c r="C86" s="51"/>
      <c r="E86" s="53"/>
      <c r="F86" s="3"/>
    </row>
    <row r="87" spans="1:6" s="52" customFormat="1">
      <c r="A87" s="1"/>
      <c r="B87" s="50"/>
      <c r="C87" s="51"/>
      <c r="E87" s="53"/>
      <c r="F87" s="3"/>
    </row>
    <row r="88" spans="1:6" s="52" customFormat="1">
      <c r="A88" s="1"/>
      <c r="B88" s="50"/>
      <c r="C88" s="51"/>
      <c r="E88" s="53"/>
      <c r="F88" s="3"/>
    </row>
    <row r="89" spans="1:6" s="52" customFormat="1">
      <c r="A89" s="1"/>
      <c r="B89" s="50"/>
      <c r="C89" s="51"/>
      <c r="E89" s="53"/>
      <c r="F89" s="3"/>
    </row>
    <row r="90" spans="1:6" s="52" customFormat="1">
      <c r="A90" s="1"/>
      <c r="B90" s="50"/>
      <c r="C90" s="51"/>
      <c r="E90" s="53"/>
      <c r="F90" s="3"/>
    </row>
    <row r="91" spans="1:6" s="52" customFormat="1">
      <c r="A91" s="1"/>
      <c r="B91" s="50"/>
      <c r="C91" s="51"/>
      <c r="E91" s="53"/>
      <c r="F91" s="3"/>
    </row>
    <row r="92" spans="1:6" s="52" customFormat="1">
      <c r="A92" s="1"/>
      <c r="B92" s="50"/>
      <c r="C92" s="51"/>
      <c r="E92" s="53"/>
      <c r="F92" s="3"/>
    </row>
    <row r="93" spans="1:6" s="52" customFormat="1">
      <c r="A93" s="1"/>
      <c r="B93" s="50"/>
      <c r="C93" s="51"/>
      <c r="E93" s="53"/>
      <c r="F93" s="3"/>
    </row>
    <row r="94" spans="1:6" s="52" customFormat="1">
      <c r="A94" s="1"/>
      <c r="B94" s="50"/>
      <c r="C94" s="51"/>
      <c r="E94" s="53"/>
      <c r="F94" s="3"/>
    </row>
    <row r="95" spans="1:6" s="52" customFormat="1">
      <c r="A95" s="1"/>
      <c r="B95" s="50"/>
      <c r="C95" s="51"/>
      <c r="E95" s="53"/>
      <c r="F95" s="3"/>
    </row>
    <row r="96" spans="1:6" s="52" customFormat="1">
      <c r="A96" s="1"/>
      <c r="B96" s="50"/>
      <c r="C96" s="51"/>
      <c r="E96" s="53"/>
      <c r="F96" s="3"/>
    </row>
    <row r="97" spans="1:6" s="52" customFormat="1">
      <c r="A97" s="1"/>
      <c r="B97" s="50"/>
      <c r="C97" s="51"/>
      <c r="E97" s="53"/>
      <c r="F97" s="3"/>
    </row>
    <row r="98" spans="1:6" s="52" customFormat="1">
      <c r="A98" s="1"/>
      <c r="B98" s="50"/>
      <c r="C98" s="51"/>
      <c r="E98" s="53"/>
      <c r="F98" s="3"/>
    </row>
    <row r="99" spans="1:6" s="52" customFormat="1">
      <c r="A99" s="1"/>
      <c r="B99" s="50"/>
      <c r="C99" s="51"/>
      <c r="E99" s="53"/>
      <c r="F99" s="3"/>
    </row>
    <row r="100" spans="1:6" s="52" customFormat="1">
      <c r="A100" s="1"/>
      <c r="B100" s="50"/>
      <c r="C100" s="51"/>
      <c r="E100" s="53"/>
      <c r="F100" s="3"/>
    </row>
    <row r="101" spans="1:6" s="52" customFormat="1">
      <c r="A101" s="1"/>
      <c r="B101" s="50"/>
      <c r="C101" s="51"/>
      <c r="E101" s="53"/>
      <c r="F101" s="3"/>
    </row>
    <row r="102" spans="1:6" s="52" customFormat="1">
      <c r="A102" s="1"/>
      <c r="B102" s="50"/>
      <c r="C102" s="51"/>
      <c r="E102" s="53"/>
      <c r="F102" s="3"/>
    </row>
    <row r="103" spans="1:6" s="52" customFormat="1">
      <c r="A103" s="1"/>
      <c r="B103" s="50"/>
      <c r="C103" s="51"/>
      <c r="E103" s="53"/>
      <c r="F103" s="3"/>
    </row>
    <row r="104" spans="1:6" s="52" customFormat="1">
      <c r="A104" s="1"/>
      <c r="B104" s="50"/>
      <c r="C104" s="51"/>
      <c r="E104" s="53"/>
      <c r="F104" s="3"/>
    </row>
    <row r="105" spans="1:6" s="52" customFormat="1">
      <c r="A105" s="1"/>
      <c r="B105" s="50"/>
      <c r="C105" s="51"/>
      <c r="E105" s="53"/>
      <c r="F105" s="3"/>
    </row>
    <row r="106" spans="1:6" s="52" customFormat="1">
      <c r="A106" s="1"/>
      <c r="B106" s="50"/>
      <c r="C106" s="51"/>
      <c r="E106" s="53"/>
      <c r="F106" s="3"/>
    </row>
  </sheetData>
  <mergeCells count="21">
    <mergeCell ref="A6:B6"/>
    <mergeCell ref="C6:E6"/>
    <mergeCell ref="C1:E1"/>
    <mergeCell ref="C2:E2"/>
    <mergeCell ref="A4:E4"/>
    <mergeCell ref="A5:B5"/>
    <mergeCell ref="C5:E5"/>
    <mergeCell ref="A7:B7"/>
    <mergeCell ref="C7:E7"/>
    <mergeCell ref="A8:B8"/>
    <mergeCell ref="C8:E8"/>
    <mergeCell ref="A9:B9"/>
    <mergeCell ref="C9:E9"/>
    <mergeCell ref="A58:E58"/>
    <mergeCell ref="A69:E69"/>
    <mergeCell ref="A10:B10"/>
    <mergeCell ref="C10:E10"/>
    <mergeCell ref="A11:B11"/>
    <mergeCell ref="C11:E11"/>
    <mergeCell ref="A12:B12"/>
    <mergeCell ref="A13:E13"/>
  </mergeCells>
  <pageMargins left="0.55118110236220474" right="0.35433070866141736" top="0.55118110236220474" bottom="0.35433070866141736" header="0.15748031496062992" footer="0.31496062992125984"/>
  <pageSetup scale="58" orientation="portrait" r:id="rId1"/>
  <rowBreaks count="1" manualBreakCount="1">
    <brk id="3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F45"/>
  <sheetViews>
    <sheetView view="pageBreakPreview" zoomScaleNormal="100" zoomScaleSheetLayoutView="100" workbookViewId="0">
      <selection activeCell="B51" sqref="B51"/>
    </sheetView>
  </sheetViews>
  <sheetFormatPr defaultRowHeight="15"/>
  <cols>
    <col min="1" max="1" width="6.5703125" style="66" customWidth="1"/>
    <col min="2" max="2" width="53.7109375" style="66" bestFit="1" customWidth="1"/>
    <col min="3" max="3" width="15.140625" style="66" customWidth="1"/>
    <col min="4" max="4" width="7.42578125" style="66" customWidth="1"/>
    <col min="5" max="5" width="11.7109375" style="66" bestFit="1" customWidth="1"/>
    <col min="6" max="16384" width="9.140625" style="66"/>
  </cols>
  <sheetData>
    <row r="1" spans="2:4" ht="15" customHeight="1">
      <c r="B1" s="65"/>
      <c r="C1" s="105" t="s">
        <v>144</v>
      </c>
      <c r="D1" s="105"/>
    </row>
    <row r="2" spans="2:4" ht="15" customHeight="1">
      <c r="B2" s="105" t="s">
        <v>145</v>
      </c>
      <c r="C2" s="105"/>
      <c r="D2" s="105"/>
    </row>
    <row r="3" spans="2:4" ht="15.75">
      <c r="B3" s="65"/>
      <c r="C3" s="65"/>
      <c r="D3" s="67"/>
    </row>
    <row r="4" spans="2:4" ht="15" customHeight="1">
      <c r="B4" s="105" t="s">
        <v>146</v>
      </c>
      <c r="C4" s="105"/>
      <c r="D4" s="105"/>
    </row>
    <row r="5" spans="2:4" ht="15.75">
      <c r="B5" s="65"/>
      <c r="C5" s="65"/>
      <c r="D5" s="67"/>
    </row>
    <row r="6" spans="2:4" ht="15" customHeight="1">
      <c r="B6" s="105" t="s">
        <v>147</v>
      </c>
      <c r="C6" s="105"/>
      <c r="D6" s="105"/>
    </row>
    <row r="7" spans="2:4" ht="15.75">
      <c r="B7" s="67"/>
      <c r="C7" s="65"/>
      <c r="D7" s="65"/>
    </row>
    <row r="8" spans="2:4" ht="15.75">
      <c r="B8" s="67"/>
      <c r="C8" s="65"/>
      <c r="D8" s="65"/>
    </row>
    <row r="9" spans="2:4" ht="15.75">
      <c r="B9" s="67"/>
      <c r="C9" s="65"/>
      <c r="D9" s="65"/>
    </row>
    <row r="10" spans="2:4" ht="15.75">
      <c r="B10" s="106" t="s">
        <v>148</v>
      </c>
      <c r="C10" s="106"/>
      <c r="D10" s="106"/>
    </row>
    <row r="11" spans="2:4" ht="35.25" customHeight="1">
      <c r="B11" s="107" t="s">
        <v>149</v>
      </c>
      <c r="C11" s="107"/>
      <c r="D11" s="107"/>
    </row>
    <row r="12" spans="2:4" ht="15.75">
      <c r="B12" s="106" t="s">
        <v>163</v>
      </c>
      <c r="C12" s="106"/>
      <c r="D12" s="106"/>
    </row>
    <row r="13" spans="2:4" ht="15.75">
      <c r="B13" s="107"/>
      <c r="C13" s="107"/>
      <c r="D13" s="107"/>
    </row>
    <row r="14" spans="2:4">
      <c r="B14" s="68"/>
      <c r="C14" s="108"/>
      <c r="D14" s="108"/>
    </row>
    <row r="15" spans="2:4">
      <c r="C15" s="69"/>
      <c r="D15" s="69"/>
    </row>
    <row r="16" spans="2:4">
      <c r="B16" s="70" t="s">
        <v>150</v>
      </c>
      <c r="C16" s="103" t="s">
        <v>151</v>
      </c>
      <c r="D16" s="104"/>
    </row>
    <row r="17" spans="2:6" ht="24" customHeight="1">
      <c r="B17" s="71" t="s">
        <v>152</v>
      </c>
      <c r="C17" s="103">
        <f>(1524*11)/1.18</f>
        <v>14206.77966101695</v>
      </c>
      <c r="D17" s="104"/>
      <c r="E17" s="66">
        <v>1.18</v>
      </c>
    </row>
    <row r="18" spans="2:6" ht="30">
      <c r="B18" s="71" t="s">
        <v>153</v>
      </c>
      <c r="C18" s="103">
        <f>(1524*11)/1.18</f>
        <v>14206.77966101695</v>
      </c>
      <c r="D18" s="104"/>
    </row>
    <row r="19" spans="2:6">
      <c r="B19" s="71" t="s">
        <v>164</v>
      </c>
      <c r="C19" s="103">
        <f>(94*8)/1.18</f>
        <v>637.28813559322032</v>
      </c>
      <c r="D19" s="104"/>
    </row>
    <row r="20" spans="2:6">
      <c r="B20" s="71" t="s">
        <v>165</v>
      </c>
      <c r="C20" s="103">
        <f>(94*28)/1.18</f>
        <v>2230.5084745762715</v>
      </c>
      <c r="D20" s="104"/>
    </row>
    <row r="21" spans="2:6">
      <c r="B21" s="71" t="s">
        <v>166</v>
      </c>
      <c r="C21" s="103">
        <f>(2*2151)/1.18</f>
        <v>3645.7627118644068</v>
      </c>
      <c r="D21" s="104"/>
    </row>
    <row r="22" spans="2:6">
      <c r="B22" s="71" t="s">
        <v>167</v>
      </c>
      <c r="C22" s="103">
        <f>18000*2*1.25*1.25*13*1.15*1.302/1974*E22</f>
        <v>32835.925531914894</v>
      </c>
      <c r="D22" s="104"/>
      <c r="E22" s="66">
        <f>22*2+(8+28)*0.2+4*2</f>
        <v>59.2</v>
      </c>
    </row>
    <row r="23" spans="2:6">
      <c r="B23" s="71" t="s">
        <v>154</v>
      </c>
      <c r="C23" s="103">
        <f>SUM(C17:D22)*10%</f>
        <v>6776.3044175982695</v>
      </c>
      <c r="D23" s="104"/>
    </row>
    <row r="24" spans="2:6" s="73" customFormat="1" ht="14.25">
      <c r="B24" s="72" t="s">
        <v>187</v>
      </c>
      <c r="C24" s="109">
        <f>(SUM(C17:D23))*1.18</f>
        <v>87956.431340425523</v>
      </c>
      <c r="D24" s="110"/>
      <c r="E24" s="91">
        <f>энергосбер74!C24</f>
        <v>81454.918085106387</v>
      </c>
      <c r="F24" s="91">
        <f>C24-E24</f>
        <v>6501.5132553191361</v>
      </c>
    </row>
    <row r="25" spans="2:6">
      <c r="B25" s="74"/>
      <c r="C25" s="75"/>
    </row>
    <row r="26" spans="2:6">
      <c r="B26" s="74" t="s">
        <v>156</v>
      </c>
      <c r="C26" s="75"/>
    </row>
    <row r="27" spans="2:6">
      <c r="B27" s="76"/>
      <c r="C27" s="76"/>
    </row>
    <row r="28" spans="2:6" ht="15.75">
      <c r="B28" s="77" t="s">
        <v>135</v>
      </c>
      <c r="C28" s="107" t="s">
        <v>136</v>
      </c>
      <c r="D28" s="107"/>
    </row>
    <row r="32" spans="2:6" hidden="1"/>
    <row r="33" spans="2:4" hidden="1"/>
    <row r="34" spans="2:4" hidden="1">
      <c r="B34" s="78">
        <v>4100.26</v>
      </c>
    </row>
    <row r="35" spans="2:4" hidden="1">
      <c r="B35" s="78">
        <f>B34*1.18</f>
        <v>4838.3068000000003</v>
      </c>
    </row>
    <row r="36" spans="2:4" ht="30" hidden="1">
      <c r="B36" s="78">
        <v>806.38</v>
      </c>
      <c r="C36" s="66" t="s">
        <v>157</v>
      </c>
    </row>
    <row r="37" spans="2:4" ht="45" hidden="1">
      <c r="B37" s="78">
        <v>229363.8</v>
      </c>
      <c r="C37" s="66" t="s">
        <v>158</v>
      </c>
    </row>
    <row r="38" spans="2:4" ht="30" hidden="1">
      <c r="B38" s="78">
        <f>B37/B36</f>
        <v>284.43636994965152</v>
      </c>
      <c r="C38" s="66" t="s">
        <v>159</v>
      </c>
    </row>
    <row r="39" spans="2:4" ht="30" hidden="1">
      <c r="B39" s="78">
        <f>B38/6</f>
        <v>47.406061658275256</v>
      </c>
      <c r="C39" s="66" t="s">
        <v>160</v>
      </c>
    </row>
    <row r="40" spans="2:4" hidden="1"/>
    <row r="41" spans="2:4" hidden="1">
      <c r="B41" s="79" t="s">
        <v>161</v>
      </c>
      <c r="C41" s="80">
        <v>23429.1</v>
      </c>
      <c r="D41" s="69">
        <f>B39/C43*C41</f>
        <v>26.39558535392106</v>
      </c>
    </row>
    <row r="42" spans="2:4" hidden="1">
      <c r="B42" s="79" t="s">
        <v>162</v>
      </c>
      <c r="C42" s="80">
        <v>18649.2</v>
      </c>
      <c r="D42" s="69">
        <f>B39/C43*C42</f>
        <v>21.010476304354189</v>
      </c>
    </row>
    <row r="43" spans="2:4" hidden="1">
      <c r="C43" s="68">
        <f>C42+C41</f>
        <v>42078.3</v>
      </c>
      <c r="D43" s="80"/>
    </row>
    <row r="44" spans="2:4" hidden="1"/>
    <row r="45" spans="2:4" hidden="1"/>
  </sheetData>
  <mergeCells count="19">
    <mergeCell ref="C18:D18"/>
    <mergeCell ref="C1:D1"/>
    <mergeCell ref="B2:D2"/>
    <mergeCell ref="B4:D4"/>
    <mergeCell ref="B6:D6"/>
    <mergeCell ref="B10:D10"/>
    <mergeCell ref="B11:D11"/>
    <mergeCell ref="B12:D12"/>
    <mergeCell ref="B13:D13"/>
    <mergeCell ref="C14:D14"/>
    <mergeCell ref="C16:D16"/>
    <mergeCell ref="C17:D17"/>
    <mergeCell ref="C28:D28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74+5%</vt:lpstr>
      <vt:lpstr>энергосбер74</vt:lpstr>
      <vt:lpstr>74+5% (л.кл+двор)</vt:lpstr>
      <vt:lpstr>74+5% (л.кл+двор) (2)</vt:lpstr>
      <vt:lpstr>энергосбер74 (2)</vt:lpstr>
      <vt:lpstr>'74+5%'!Область_печати</vt:lpstr>
      <vt:lpstr>'74+5% (л.кл+двор)'!Область_печати</vt:lpstr>
      <vt:lpstr>'74+5% (л.кл+двор) (2)'!Область_печати</vt:lpstr>
      <vt:lpstr>энергосбер74!Область_печати</vt:lpstr>
      <vt:lpstr>'энергосбер74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2016-11-29T09:55:36Z</cp:lastPrinted>
  <dcterms:created xsi:type="dcterms:W3CDTF">2016-11-20T09:39:29Z</dcterms:created>
  <dcterms:modified xsi:type="dcterms:W3CDTF">2018-03-06T03:49:10Z</dcterms:modified>
</cp:coreProperties>
</file>