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75" windowHeight="11955"/>
  </bookViews>
  <sheets>
    <sheet name="1.10+9%" sheetId="1" r:id="rId1"/>
    <sheet name="1.10+9% (л.кл)" sheetId="2" r:id="rId2"/>
    <sheet name="1.10 л.кл" sheetId="3" r:id="rId3"/>
  </sheets>
  <definedNames>
    <definedName name="_xlnm.Print_Area" localSheetId="2">'1.10 л.кл'!$A$1:$M$40</definedName>
    <definedName name="_xlnm.Print_Area" localSheetId="0">'1.10+9%'!$A$1:$D$68</definedName>
    <definedName name="_xlnm.Print_Area" localSheetId="1">'1.10+9% (л.кл)'!$A$1:$F$68</definedName>
  </definedNames>
  <calcPr calcId="125725"/>
</workbook>
</file>

<file path=xl/calcChain.xml><?xml version="1.0" encoding="utf-8"?>
<calcChain xmlns="http://schemas.openxmlformats.org/spreadsheetml/2006/main">
  <c r="K29" i="3"/>
  <c r="K28"/>
  <c r="K27"/>
  <c r="K26"/>
  <c r="D60" i="2" l="1"/>
  <c r="D53"/>
  <c r="D52"/>
  <c r="D51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54" s="1"/>
  <c r="D55" s="1"/>
  <c r="J36" i="3"/>
  <c r="H35"/>
  <c r="J35" s="1"/>
  <c r="H34"/>
  <c r="J34" s="1"/>
  <c r="K33"/>
  <c r="H33"/>
  <c r="J33" s="1"/>
  <c r="K32"/>
  <c r="H32"/>
  <c r="J32" s="1"/>
  <c r="L32" s="1"/>
  <c r="K31"/>
  <c r="H31"/>
  <c r="J31" s="1"/>
  <c r="K30"/>
  <c r="H30"/>
  <c r="J30" s="1"/>
  <c r="L30" s="1"/>
  <c r="J29"/>
  <c r="J28"/>
  <c r="J27"/>
  <c r="J26"/>
  <c r="J12"/>
  <c r="J11"/>
  <c r="J10"/>
  <c r="J9"/>
  <c r="L33" l="1"/>
  <c r="L31"/>
  <c r="J13"/>
  <c r="K35" s="1"/>
  <c r="L35" s="1"/>
  <c r="L26"/>
  <c r="L27"/>
  <c r="L28"/>
  <c r="L29"/>
  <c r="K34"/>
  <c r="L34" s="1"/>
  <c r="J14" l="1"/>
  <c r="K36" s="1"/>
  <c r="L36" s="1"/>
  <c r="L37" s="1"/>
  <c r="L38" s="1"/>
  <c r="F45" s="1"/>
  <c r="J15"/>
  <c r="J17" s="1"/>
  <c r="J18" l="1"/>
  <c r="J19" s="1"/>
  <c r="J20" l="1"/>
  <c r="J21" s="1"/>
  <c r="F43" l="1"/>
  <c r="J22"/>
  <c r="F44" l="1"/>
  <c r="F46" l="1"/>
  <c r="F47" s="1"/>
  <c r="F48" l="1"/>
  <c r="E60" i="2"/>
  <c r="E53"/>
  <c r="E52"/>
  <c r="E51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17"/>
  <c r="E16"/>
  <c r="E15"/>
  <c r="E14"/>
  <c r="E54" s="1"/>
  <c r="C11"/>
  <c r="C7"/>
  <c r="E57" s="1"/>
  <c r="D57" s="1"/>
  <c r="G21" l="1"/>
  <c r="G23"/>
  <c r="G25"/>
  <c r="G20"/>
  <c r="G24"/>
  <c r="G19"/>
  <c r="G22"/>
  <c r="G26"/>
  <c r="F46"/>
  <c r="F48"/>
  <c r="F51"/>
  <c r="F53"/>
  <c r="F45"/>
  <c r="F47"/>
  <c r="F49"/>
  <c r="F52"/>
  <c r="F49" i="3"/>
  <c r="F42" s="1"/>
  <c r="I42" s="1"/>
  <c r="E55" i="2"/>
  <c r="F55" s="1"/>
  <c r="F54"/>
  <c r="C60" s="1"/>
  <c r="F60" s="1"/>
  <c r="F50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</calcChain>
</file>

<file path=xl/sharedStrings.xml><?xml version="1.0" encoding="utf-8"?>
<sst xmlns="http://schemas.openxmlformats.org/spreadsheetml/2006/main" count="364" uniqueCount="205">
  <si>
    <t>к Договору управления многоквартирным домом____</t>
  </si>
  <si>
    <t>Характеристика МКД</t>
  </si>
  <si>
    <t>Количество подъездов</t>
  </si>
  <si>
    <t>Площадь жилых помещений</t>
  </si>
  <si>
    <t>Площадь нежилых помещений</t>
  </si>
  <si>
    <t>Перечень обязательных видов работ и услуг по содержанию и ремонту общего имущества  дома</t>
  </si>
  <si>
    <t>Условия выполнения работ, оказания услуг</t>
  </si>
  <si>
    <t>Размер платы за 1 кв.м. площади помещений в месяц, руб.</t>
  </si>
  <si>
    <t>Сумма затрат в год, руб.</t>
  </si>
  <si>
    <t>Техническое обслуживание внутридомового инженерного оборудования</t>
  </si>
  <si>
    <t>Техническое обслуживание конструктивных элементов зданий</t>
  </si>
  <si>
    <t>Аварийно-ремонтное обслуживание</t>
  </si>
  <si>
    <t>Санитарное содержание лестничных клеток</t>
  </si>
  <si>
    <t>4.1.</t>
  </si>
  <si>
    <t>влажная уборка лестничных площадок и маршей</t>
  </si>
  <si>
    <t>4.2.</t>
  </si>
  <si>
    <t>мытье лестничных площадок и маршей</t>
  </si>
  <si>
    <t>1 раз в месяц</t>
  </si>
  <si>
    <t>4.3.</t>
  </si>
  <si>
    <t>мытье полов кабины лифтов</t>
  </si>
  <si>
    <t>2 раза в неделю</t>
  </si>
  <si>
    <t>5 раз в неделю</t>
  </si>
  <si>
    <t>4.4.</t>
  </si>
  <si>
    <t>1 раз в год</t>
  </si>
  <si>
    <t>2 раза в год</t>
  </si>
  <si>
    <t>4.5.</t>
  </si>
  <si>
    <t>4.6.</t>
  </si>
  <si>
    <t>4.7.</t>
  </si>
  <si>
    <t>мытье окон</t>
  </si>
  <si>
    <t>4.8.</t>
  </si>
  <si>
    <t>уборка крыльца</t>
  </si>
  <si>
    <t>1 раз в неделю</t>
  </si>
  <si>
    <t>Уборка земельного участка, входящего в состав общего имущества дома</t>
  </si>
  <si>
    <t>5.1.</t>
  </si>
  <si>
    <t>холодный период</t>
  </si>
  <si>
    <t>5.1.1.</t>
  </si>
  <si>
    <t>подметание территории</t>
  </si>
  <si>
    <t>асфальт  1 класса - 1 раз в двое суток, асфальт 2 и 3 класса - 1 раз в сутки</t>
  </si>
  <si>
    <t>5.1.2.</t>
  </si>
  <si>
    <t>сдвигание свежевыпавшего снега в дни сильных снегопадов</t>
  </si>
  <si>
    <t xml:space="preserve"> 2 раза в сутки в дни сильных снегопадов</t>
  </si>
  <si>
    <t>5.1.3.</t>
  </si>
  <si>
    <t>посыпка территории пескосмесью</t>
  </si>
  <si>
    <t xml:space="preserve"> в дни гололеда не менее 1 раза в день</t>
  </si>
  <si>
    <t>5.1.4.</t>
  </si>
  <si>
    <t>очистка от наледи и льда крышек люков и пожарных колодцев</t>
  </si>
  <si>
    <t>5.1.5.</t>
  </si>
  <si>
    <t>очистка участков территории от снега и наледи при механизированной уборке</t>
  </si>
  <si>
    <t>6 раз в холодный период</t>
  </si>
  <si>
    <t>5.1.6.</t>
  </si>
  <si>
    <t>очистка контейнерной площадки</t>
  </si>
  <si>
    <t>5.1.7.</t>
  </si>
  <si>
    <t>сметание снега со ступеней и площадки перед входом в подъезд</t>
  </si>
  <si>
    <t>4 раза в неделю</t>
  </si>
  <si>
    <t>6 раза в неделю</t>
  </si>
  <si>
    <t>5.1.8.</t>
  </si>
  <si>
    <t>протирка указателей</t>
  </si>
  <si>
    <t>2 раза за период</t>
  </si>
  <si>
    <t>5.2.</t>
  </si>
  <si>
    <t>теплый период</t>
  </si>
  <si>
    <t>5.2.1.</t>
  </si>
  <si>
    <t>подметание территории с дни без осадков или в дни с осадками до 2 см</t>
  </si>
  <si>
    <t>асфальт  1 класса - 1 раз в двое суток, грунт 2 класса и асфальт 2 и 3 класса - 1 раз в сутки</t>
  </si>
  <si>
    <t>5.2.2.</t>
  </si>
  <si>
    <t>частичная уборка территории в дни с осадками более 2 см</t>
  </si>
  <si>
    <t xml:space="preserve">асфальт  1, 2 и 3 класса - 50 % территории  1 раз в двое суток </t>
  </si>
  <si>
    <t>5.2.3.</t>
  </si>
  <si>
    <t>уборка газонов</t>
  </si>
  <si>
    <t>1 раз в двое суток</t>
  </si>
  <si>
    <t>5.2.4.</t>
  </si>
  <si>
    <t>подметание ступеней и площадок перед входом в подъезд</t>
  </si>
  <si>
    <t>5.2.5.</t>
  </si>
  <si>
    <t>уборка контейнерной площадки</t>
  </si>
  <si>
    <t>5.2.6.</t>
  </si>
  <si>
    <t xml:space="preserve">уборка приямков </t>
  </si>
  <si>
    <t>5.2.7.</t>
  </si>
  <si>
    <t>5.2.8.</t>
  </si>
  <si>
    <t>озеленение, кошение газонов</t>
  </si>
  <si>
    <t>Сбор, вывоз и утилизация крупногабаритных бытовых отходов</t>
  </si>
  <si>
    <t>Сбор, вывоз и утилизация твердых бытовых отходов</t>
  </si>
  <si>
    <t>не реже одного раза в сутки</t>
  </si>
  <si>
    <t>Дератизация, дезинсекция</t>
  </si>
  <si>
    <t>дератизация - 1 раз в квартал, дезинсекция - 4 раза в год</t>
  </si>
  <si>
    <t>Обслуживание  лифтов</t>
  </si>
  <si>
    <t>ежемесячно, согласно договору со специализированной организацией</t>
  </si>
  <si>
    <t>ежемесячно</t>
  </si>
  <si>
    <t>ИТОГО  содержание общего имущества в многоквартирном доме</t>
  </si>
  <si>
    <t>Директор ООО "КЖЭК "Горский"</t>
  </si>
  <si>
    <t>С.В. Занина</t>
  </si>
  <si>
    <t>Экономист</t>
  </si>
  <si>
    <t>Общая площадь помещений</t>
  </si>
  <si>
    <t>Площадь дворовой территории</t>
  </si>
  <si>
    <t>Площадь, оборудованная ППА</t>
  </si>
  <si>
    <t>Раздел 1. Содержание общего имущества дома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</si>
  <si>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</si>
  <si>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</si>
  <si>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</si>
  <si>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</si>
  <si>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</si>
  <si>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</si>
  <si>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</si>
  <si>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</si>
  <si>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</si>
  <si>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</si>
  <si>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</si>
  <si>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</si>
  <si>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</si>
  <si>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Раздел 2. Дополнительные услуги и работы</t>
  </si>
  <si>
    <t>Сбор денежных средств для формирования резерва на текущий ремонт</t>
  </si>
  <si>
    <t>М.А. Иващук</t>
  </si>
  <si>
    <t>Приложение № 3</t>
  </si>
  <si>
    <t>ул. Одоевского, 1/10</t>
  </si>
  <si>
    <r>
      <t>Техническое обслуживание ИТП</t>
    </r>
    <r>
      <rPr>
        <sz val="10"/>
        <color indexed="8"/>
        <rFont val="Times New Roman"/>
        <family val="1"/>
        <charset val="204"/>
      </rPr>
      <t xml:space="preserve"> (автоматизированнный)</t>
    </r>
  </si>
  <si>
    <r>
      <rPr>
        <u/>
        <sz val="12"/>
        <color theme="1"/>
        <rFont val="Times New Roman"/>
        <family val="1"/>
        <charset val="204"/>
      </rPr>
      <t>Примечание:</t>
    </r>
    <r>
      <rPr>
        <sz val="12"/>
        <color theme="1"/>
        <rFont val="Times New Roman"/>
        <family val="1"/>
        <charset val="204"/>
      </rPr>
      <t xml:space="preserve"> В случае непринятия решения о перечне, периодичность и стоимости работ и услуг по содержанию и ремонту общего имущества МКД, не проведению общего собрания по данному вопросу управляющая организация продолжит выполнение своих договорных обязательств по договору управления на тех условиях, которые указаны в данном перечне и будет производить начисления в соответствии с новым тарифом с 01.01.2015 года.</t>
    </r>
  </si>
  <si>
    <t>Проведение технических осмотров, профилактического ремонта и устранение незначительных неисправностей в системах отопления, водоснабжения, водоотведения, канализации, электроснабжения, а также: ремонт, регулировка, наладка и испытание систем центрального отопления; промывка, опрессовка, консервация и расконсервация системы центрального отопления; укрепление трубопроводов, мелкий ремонт изоляции, проверка исправности канализационных вытяжек и профилактическая прочистка канализации и  выполнение других работ в соответствии с приложениями к договору управления № 5 и № 6. Устранение причин при обнаружении неисправности инженерных систем и т.д. в соответствии с перечнем, утвержденным постановлением Правительства РФ от 03.04.2013 № 290 и в соответствии с постановлением Правительства РФ от 27.09.2003 № 170 и на основании договора управления</t>
  </si>
  <si>
    <t>Проведение технических осмотров, профилактического ремонта и устранение незначительных неисправностей в конструктивных элементах здания, смена и восстановление разбитых стекол;  ремонт и укрепление окон и дверей; очистка кровли от мусора, грязи, снега, наледи, снежных шапок и  сосулек и  выполнение других работ в соответствии с приложениями к договору управления № 5 и № 6. Устранение причин при обнаружении неисправности инженерных систем и т.д. в соответствии с перечнем, утвержденным постановлением Правительства РФ от 03.04.2013 № 290 и в соответствии с постановлением Правительства РФ от 27.09.2003 № 170 и на основании договора управления</t>
  </si>
  <si>
    <t>В том числе замена ламп накаливания и выключателей в местах общего пользования</t>
  </si>
  <si>
    <r>
      <rPr>
        <b/>
        <sz val="9"/>
        <color indexed="8"/>
        <rFont val="Times New Roman"/>
        <family val="1"/>
        <charset val="204"/>
      </rPr>
      <t>900 шт. - лампы ЛОН
300 шт. - выключатели</t>
    </r>
    <r>
      <rPr>
        <sz val="9"/>
        <color indexed="8"/>
        <rFont val="Times New Roman"/>
        <family val="1"/>
        <charset val="204"/>
      </rPr>
      <t xml:space="preserve">
ППР 2 раза в год, замена ламп в лифтовых холлах и на первых этажах - по заявкам, в межквартирных коридорах - по заявкам в рамках сумм, заложенных на данный вид работ, 
остальные материалы оплачиваются собственниками на основании счетов</t>
    </r>
  </si>
  <si>
    <t>Обслуживание средств противопожарной автоматики</t>
  </si>
  <si>
    <t>2016 (ТС+УР)</t>
  </si>
  <si>
    <t>2015 (ТС+ППА)</t>
  </si>
  <si>
    <t xml:space="preserve">% увеличения </t>
  </si>
  <si>
    <t>УПРАВЛЕНИЕ МНОГОКВАРТИРНЫМ ДОМОМ 20% ( в том числе НДС 18%)</t>
  </si>
  <si>
    <t>круглосуточно на системах водоснабжения, водоотведения, теплоснабжения и энергообеспечения</t>
  </si>
  <si>
    <t>влажная протирка стен, дверей, потолков и плафонов кабины лифта, подоконников, почтовых ящиков</t>
  </si>
  <si>
    <r>
      <t xml:space="preserve">Техническое обслуживание ОПУ </t>
    </r>
    <r>
      <rPr>
        <sz val="10"/>
        <color indexed="8"/>
        <rFont val="Times New Roman"/>
        <family val="1"/>
        <charset val="204"/>
      </rPr>
      <t>(тепловая энергия, горячее и холодное водоснабжение)</t>
    </r>
  </si>
  <si>
    <t>Планирование работ по содержанию и ремонту общего имущества дома; планирование финансовых и технических ресурсов;  осуществление систематического контроля над качеством услуг и работ подрядных организаций и за исполнением договорных обязательств; проведение оплаты работ и услуг подрядных организаций в соответствии с заключенными договорами за надлежащее качество работ и услуг, сбор платежей с нанимателей и собственников помещение, в т.ч. за коммунальные услуги, взыскание задолженности по оплате ЖКУ; ведение технической документациипо МКД, работа с населением, в т.ч. рассмотрение обращений и жалоб по качеству обслуживания; выполнение диспетчерских функций по приему заявок от населения и функций, связанных с регистрацией граждан.</t>
  </si>
  <si>
    <t>в течение летнего периода</t>
  </si>
  <si>
    <t>Численность с учетом коэффициента невыходов 1,12</t>
  </si>
  <si>
    <t>Сумма оплаты по окладу на нормативную численность, руб.</t>
  </si>
  <si>
    <t>Районный коэффициент 25 %, руб.</t>
  </si>
  <si>
    <t>Итого ФОТ в месяц, руб.</t>
  </si>
  <si>
    <t>Итого ФОТ в год, тыс. руб.</t>
  </si>
  <si>
    <t>Наименование материала</t>
  </si>
  <si>
    <t>норма износа</t>
  </si>
  <si>
    <t>Кол-во ед.  в год</t>
  </si>
  <si>
    <t xml:space="preserve">Стоимость </t>
  </si>
  <si>
    <t>Стоимость  в год</t>
  </si>
  <si>
    <t>Кол-во работающих</t>
  </si>
  <si>
    <t>1 шт. в год</t>
  </si>
  <si>
    <t>- ведро</t>
  </si>
  <si>
    <t>1 шт. на 2 года</t>
  </si>
  <si>
    <t>1.3.5. Расчет численности и ФОТ уборщиков помещений</t>
  </si>
  <si>
    <t>Расчет затрат проведен по рекомендациям по нормированию материальных ресурсов на содержание и ремонт жилищного фонда, утвержденных Приказом Госстроя от 22.08.2000 г. № 191.</t>
  </si>
  <si>
    <t>Уборочная площадь лестничных клеток составляет</t>
  </si>
  <si>
    <r>
      <t>м</t>
    </r>
    <r>
      <rPr>
        <vertAlign val="superscript"/>
        <sz val="8"/>
        <color theme="1"/>
        <rFont val="Calibri"/>
        <family val="2"/>
        <charset val="204"/>
        <scheme val="minor"/>
      </rPr>
      <t>2</t>
    </r>
  </si>
  <si>
    <t>Расчет нормативной численности и ФОТ уборщиков помещений</t>
  </si>
  <si>
    <t>Количество этажей в здании</t>
  </si>
  <si>
    <t>Виды 
оборудования</t>
  </si>
  <si>
    <t>Нормы  обслуживания  кв. м.</t>
  </si>
  <si>
    <t>Факт. 
объемы, кв.м.</t>
  </si>
  <si>
    <t>Нормативная численность и ФОТ</t>
  </si>
  <si>
    <t xml:space="preserve">от 6 до 9 </t>
  </si>
  <si>
    <t>Лифт</t>
  </si>
  <si>
    <t>от 10 до 16</t>
  </si>
  <si>
    <t>Лифт и м.провод</t>
  </si>
  <si>
    <t>от 16 до 21</t>
  </si>
  <si>
    <t xml:space="preserve">Итого численность: </t>
  </si>
  <si>
    <t>Всего:</t>
  </si>
  <si>
    <t>Тарифная ставка (оклад), руб.</t>
  </si>
  <si>
    <t>Премия 25%, руб.</t>
  </si>
  <si>
    <t>Итого с премией, и доплатами руб.</t>
  </si>
  <si>
    <t>Расчёт инвентаря для уборщицы лестничных клеток и маршей</t>
  </si>
  <si>
    <t>1 шт. на 1 год</t>
  </si>
  <si>
    <t>- веник обыкновенный</t>
  </si>
  <si>
    <t>12 шт. в год</t>
  </si>
  <si>
    <t>- совок</t>
  </si>
  <si>
    <t xml:space="preserve">- швабра </t>
  </si>
  <si>
    <t>- моющее средство (для мытья лестничных площадок и маршей, и протирки элементов лестничных клеток)</t>
  </si>
  <si>
    <t>0,4 кг. на 100 кв. м. уборочной площади</t>
  </si>
  <si>
    <t xml:space="preserve">- мыло </t>
  </si>
  <si>
    <t>1,35 кг на 100 кв.м.</t>
  </si>
  <si>
    <t>- мешковина (мытье окон)</t>
  </si>
  <si>
    <t>0,3 кг на 100 кв.м.</t>
  </si>
  <si>
    <t>- мешковина (мытье лестен. площадок и маршей,  протирка элементов лестничн. клеток, обметание пыли с потолков)</t>
  </si>
  <si>
    <t>0,5 кг на 100 кв.м.</t>
  </si>
  <si>
    <t>моющее средство</t>
  </si>
  <si>
    <t>0,039 кг на 1 сан. прибор в месяц</t>
  </si>
  <si>
    <t>хлорная известь</t>
  </si>
  <si>
    <t>2,75 кг на месяц</t>
  </si>
  <si>
    <t>щётка</t>
  </si>
  <si>
    <t>Итого в год:</t>
  </si>
  <si>
    <t>Итого в месяц:</t>
  </si>
  <si>
    <t>Расчет затрат проведен по рекомендациям по нормированию материальных ресурсов на содержание и ремонт жилищного фонда, утвержденных Приказом Госстроя от 22.08.2000 г. №191</t>
  </si>
  <si>
    <t>Уборка лестничных клеток</t>
  </si>
  <si>
    <t>ФОТ</t>
  </si>
  <si>
    <t>Страховые взносы, 30,2%</t>
  </si>
  <si>
    <t>Материалы, инвентарь</t>
  </si>
  <si>
    <t>Охрана труда, 0,2%</t>
  </si>
  <si>
    <t>Общеэксплуатационные расходы 7,2%</t>
  </si>
  <si>
    <t>Всего по себестоимости</t>
  </si>
  <si>
    <t>Рентабельность, 5%</t>
  </si>
  <si>
    <t>Было</t>
  </si>
  <si>
    <t>Автоуслуги по вывозу снега (предварительный сбор)</t>
  </si>
  <si>
    <t>с последующей корректировкой за отчетный период на основании актов выполненных работ (фактические объемы)</t>
  </si>
  <si>
    <t>Перечень и периодичность 
работ и услуг по текущему содержанию общего имущества 
многоквартирного дома № 1/10 по ул. Одоевского 
с 01.01.2016 по 31.12.2016 гг.</t>
  </si>
  <si>
    <t>Одоевского 1/10_2016</t>
  </si>
  <si>
    <t>влажное подметание лестничных площадок и маршей</t>
  </si>
  <si>
    <t>первый этаж - 3 раза в неделю, остальные этажи - 2 раза в неделю</t>
  </si>
  <si>
    <t>мытье стен, дверей, оконных ограждений, перил, чердачных лестниц, плафонов, почтовых ящиков, шкафов для электросчетчиков и слаботочных устройств, обметание пыли с потолков</t>
  </si>
  <si>
    <t>1 раз в 2 месяца</t>
  </si>
  <si>
    <t>влажная протирка, отопительных приборов</t>
  </si>
  <si>
    <t>1 раза в год</t>
  </si>
  <si>
    <t>нижние три этажа - 5 раз в неделю, выше третьего этажа - 2 раза в неделю</t>
  </si>
  <si>
    <t>влажная протирка отопительных приборов</t>
  </si>
</sst>
</file>

<file path=xl/styles.xml><?xml version="1.0" encoding="utf-8"?>
<styleSheet xmlns="http://schemas.openxmlformats.org/spreadsheetml/2006/main">
  <numFmts count="1">
    <numFmt numFmtId="164" formatCode="0.0"/>
  </numFmts>
  <fonts count="36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b/>
      <sz val="8"/>
      <name val="Arial Cyr"/>
      <charset val="204"/>
    </font>
    <font>
      <b/>
      <i/>
      <sz val="8"/>
      <color theme="1"/>
      <name val="Calibri"/>
      <family val="2"/>
      <charset val="204"/>
      <scheme val="minor"/>
    </font>
    <font>
      <vertAlign val="superscript"/>
      <sz val="8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Arial Black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/>
    <xf numFmtId="0" fontId="2" fillId="0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/>
    <xf numFmtId="4" fontId="3" fillId="2" borderId="0" xfId="0" applyNumberFormat="1" applyFont="1" applyFill="1"/>
    <xf numFmtId="0" fontId="3" fillId="2" borderId="0" xfId="0" applyFont="1" applyFill="1" applyAlignment="1">
      <alignment horizontal="center" vertical="center"/>
    </xf>
    <xf numFmtId="0" fontId="11" fillId="0" borderId="0" xfId="0" applyFont="1" applyFill="1"/>
    <xf numFmtId="2" fontId="2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/>
    <xf numFmtId="2" fontId="5" fillId="0" borderId="0" xfId="0" applyNumberFormat="1" applyFont="1"/>
    <xf numFmtId="4" fontId="5" fillId="0" borderId="0" xfId="0" applyNumberFormat="1" applyFont="1"/>
    <xf numFmtId="4" fontId="5" fillId="2" borderId="0" xfId="0" applyNumberFormat="1" applyFont="1" applyFill="1"/>
    <xf numFmtId="0" fontId="5" fillId="2" borderId="0" xfId="0" applyFont="1" applyFill="1"/>
    <xf numFmtId="0" fontId="14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 indent="12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 indent="12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top" wrapText="1"/>
    </xf>
    <xf numFmtId="0" fontId="24" fillId="0" borderId="0" xfId="0" applyFont="1" applyFill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2" fontId="27" fillId="3" borderId="1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 wrapText="1"/>
    </xf>
    <xf numFmtId="4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4" fontId="27" fillId="0" borderId="1" xfId="0" applyNumberFormat="1" applyFont="1" applyFill="1" applyBorder="1" applyAlignment="1">
      <alignment horizontal="center" vertical="center"/>
    </xf>
    <xf numFmtId="4" fontId="27" fillId="3" borderId="1" xfId="0" applyNumberFormat="1" applyFont="1" applyFill="1" applyBorder="1" applyAlignment="1">
      <alignment horizontal="center" vertical="center"/>
    </xf>
    <xf numFmtId="4" fontId="29" fillId="0" borderId="1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top" wrapText="1"/>
    </xf>
    <xf numFmtId="3" fontId="32" fillId="2" borderId="13" xfId="0" applyNumberFormat="1" applyFont="1" applyFill="1" applyBorder="1" applyAlignment="1">
      <alignment horizontal="center" vertical="center" wrapText="1"/>
    </xf>
    <xf numFmtId="3" fontId="32" fillId="2" borderId="17" xfId="0" applyNumberFormat="1" applyFont="1" applyFill="1" applyBorder="1" applyAlignment="1">
      <alignment horizontal="center" vertical="center" wrapText="1"/>
    </xf>
    <xf numFmtId="3" fontId="32" fillId="2" borderId="18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4" fontId="16" fillId="0" borderId="0" xfId="0" applyNumberFormat="1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2" fontId="22" fillId="0" borderId="5" xfId="0" applyNumberFormat="1" applyFont="1" applyFill="1" applyBorder="1" applyAlignment="1">
      <alignment horizontal="center" vertical="center"/>
    </xf>
    <xf numFmtId="2" fontId="22" fillId="0" borderId="6" xfId="0" applyNumberFormat="1" applyFont="1" applyFill="1" applyBorder="1" applyAlignment="1">
      <alignment horizontal="center" vertical="center"/>
    </xf>
    <xf numFmtId="2" fontId="22" fillId="0" borderId="1" xfId="0" applyNumberFormat="1" applyFont="1" applyFill="1" applyBorder="1" applyAlignment="1">
      <alignment horizontal="center" vertical="center"/>
    </xf>
    <xf numFmtId="10" fontId="22" fillId="0" borderId="5" xfId="0" applyNumberFormat="1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 indent="12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/>
    </xf>
    <xf numFmtId="4" fontId="34" fillId="0" borderId="2" xfId="0" applyNumberFormat="1" applyFont="1" applyFill="1" applyBorder="1" applyAlignment="1">
      <alignment horizontal="left" vertical="center" wrapText="1"/>
    </xf>
    <xf numFmtId="4" fontId="34" fillId="0" borderId="4" xfId="0" applyNumberFormat="1" applyFont="1" applyFill="1" applyBorder="1" applyAlignment="1">
      <alignment horizontal="left" vertical="center" wrapText="1"/>
    </xf>
    <xf numFmtId="4" fontId="34" fillId="0" borderId="3" xfId="0" applyNumberFormat="1" applyFont="1" applyFill="1" applyBorder="1" applyAlignment="1">
      <alignment horizontal="left" vertical="center" wrapText="1"/>
    </xf>
    <xf numFmtId="4" fontId="34" fillId="2" borderId="2" xfId="0" applyNumberFormat="1" applyFont="1" applyFill="1" applyBorder="1" applyAlignment="1">
      <alignment horizontal="center" vertical="center" wrapText="1"/>
    </xf>
    <xf numFmtId="4" fontId="34" fillId="2" borderId="4" xfId="0" applyNumberFormat="1" applyFont="1" applyFill="1" applyBorder="1" applyAlignment="1">
      <alignment horizontal="center" vertical="center" wrapText="1"/>
    </xf>
    <xf numFmtId="4" fontId="34" fillId="2" borderId="3" xfId="0" applyNumberFormat="1" applyFont="1" applyFill="1" applyBorder="1" applyAlignment="1">
      <alignment horizontal="center" vertical="center" wrapText="1"/>
    </xf>
    <xf numFmtId="4" fontId="34" fillId="0" borderId="19" xfId="0" applyNumberFormat="1" applyFont="1" applyFill="1" applyBorder="1" applyAlignment="1">
      <alignment horizontal="left" vertical="center" wrapText="1"/>
    </xf>
    <xf numFmtId="4" fontId="34" fillId="0" borderId="20" xfId="0" applyNumberFormat="1" applyFont="1" applyFill="1" applyBorder="1" applyAlignment="1">
      <alignment horizontal="left" vertical="center" wrapText="1"/>
    </xf>
    <xf numFmtId="4" fontId="34" fillId="0" borderId="21" xfId="0" applyNumberFormat="1" applyFont="1" applyFill="1" applyBorder="1" applyAlignment="1">
      <alignment horizontal="left" vertical="center" wrapText="1"/>
    </xf>
    <xf numFmtId="4" fontId="34" fillId="3" borderId="2" xfId="0" applyNumberFormat="1" applyFont="1" applyFill="1" applyBorder="1" applyAlignment="1">
      <alignment horizontal="center" vertical="center" wrapText="1"/>
    </xf>
    <xf numFmtId="4" fontId="34" fillId="3" borderId="4" xfId="0" applyNumberFormat="1" applyFont="1" applyFill="1" applyBorder="1" applyAlignment="1">
      <alignment horizontal="center" vertical="center" wrapText="1"/>
    </xf>
    <xf numFmtId="4" fontId="34" fillId="3" borderId="3" xfId="0" applyNumberFormat="1" applyFont="1" applyFill="1" applyBorder="1" applyAlignment="1">
      <alignment horizontal="center" vertical="center" wrapText="1"/>
    </xf>
    <xf numFmtId="4" fontId="33" fillId="0" borderId="14" xfId="0" applyNumberFormat="1" applyFont="1" applyFill="1" applyBorder="1" applyAlignment="1">
      <alignment horizontal="left" vertical="center" wrapText="1"/>
    </xf>
    <xf numFmtId="4" fontId="33" fillId="0" borderId="15" xfId="0" applyNumberFormat="1" applyFont="1" applyFill="1" applyBorder="1" applyAlignment="1">
      <alignment horizontal="left" vertical="center" wrapText="1"/>
    </xf>
    <xf numFmtId="4" fontId="33" fillId="0" borderId="16" xfId="0" applyNumberFormat="1" applyFont="1" applyFill="1" applyBorder="1" applyAlignment="1">
      <alignment horizontal="left" vertical="center" wrapText="1"/>
    </xf>
    <xf numFmtId="4" fontId="33" fillId="2" borderId="14" xfId="0" applyNumberFormat="1" applyFont="1" applyFill="1" applyBorder="1" applyAlignment="1">
      <alignment horizontal="center" vertical="center" wrapText="1"/>
    </xf>
    <xf numFmtId="4" fontId="33" fillId="2" borderId="15" xfId="0" applyNumberFormat="1" applyFont="1" applyFill="1" applyBorder="1" applyAlignment="1">
      <alignment horizontal="center" vertical="center" wrapText="1"/>
    </xf>
    <xf numFmtId="4" fontId="33" fillId="2" borderId="16" xfId="0" applyNumberFormat="1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top" wrapText="1"/>
    </xf>
    <xf numFmtId="49" fontId="27" fillId="0" borderId="1" xfId="0" applyNumberFormat="1" applyFont="1" applyFill="1" applyBorder="1" applyAlignment="1">
      <alignment horizontal="left" vertical="center"/>
    </xf>
    <xf numFmtId="1" fontId="26" fillId="0" borderId="1" xfId="0" applyNumberFormat="1" applyFont="1" applyFill="1" applyBorder="1" applyAlignment="1">
      <alignment horizontal="left" vertical="center"/>
    </xf>
    <xf numFmtId="4" fontId="26" fillId="0" borderId="2" xfId="0" applyNumberFormat="1" applyFont="1" applyFill="1" applyBorder="1" applyAlignment="1">
      <alignment horizontal="center" vertical="center"/>
    </xf>
    <xf numFmtId="4" fontId="26" fillId="0" borderId="3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164" fontId="25" fillId="0" borderId="1" xfId="0" applyNumberFormat="1" applyFont="1" applyFill="1" applyBorder="1" applyAlignment="1">
      <alignment horizontal="left" vertical="center" wrapText="1"/>
    </xf>
    <xf numFmtId="4" fontId="25" fillId="0" borderId="2" xfId="0" applyNumberFormat="1" applyFont="1" applyFill="1" applyBorder="1" applyAlignment="1">
      <alignment horizontal="center" vertical="center"/>
    </xf>
    <xf numFmtId="4" fontId="25" fillId="0" borderId="3" xfId="0" applyNumberFormat="1" applyFont="1" applyFill="1" applyBorder="1" applyAlignment="1">
      <alignment horizontal="center" vertical="center"/>
    </xf>
    <xf numFmtId="164" fontId="25" fillId="0" borderId="1" xfId="0" applyNumberFormat="1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/>
    </xf>
    <xf numFmtId="0" fontId="25" fillId="0" borderId="4" xfId="0" applyFont="1" applyFill="1" applyBorder="1" applyAlignment="1">
      <alignment horizontal="left" vertical="center"/>
    </xf>
    <xf numFmtId="0" fontId="25" fillId="0" borderId="3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4" fontId="25" fillId="3" borderId="1" xfId="0" applyNumberFormat="1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"/>
  <sheetViews>
    <sheetView tabSelected="1" view="pageBreakPreview" zoomScale="85" zoomScaleSheetLayoutView="85" workbookViewId="0">
      <selection activeCell="A4" sqref="A4:D4"/>
    </sheetView>
  </sheetViews>
  <sheetFormatPr defaultRowHeight="12.75"/>
  <cols>
    <col min="1" max="1" width="4.5703125" style="1" customWidth="1"/>
    <col min="2" max="2" width="40.5703125" style="3" customWidth="1"/>
    <col min="3" max="3" width="52.5703125" style="3" customWidth="1"/>
    <col min="4" max="4" width="19.28515625" style="30" customWidth="1"/>
    <col min="5" max="5" width="11.42578125" style="37" bestFit="1" customWidth="1"/>
    <col min="6" max="6" width="10.140625" style="37" bestFit="1" customWidth="1"/>
    <col min="7" max="16384" width="9.140625" style="37"/>
  </cols>
  <sheetData>
    <row r="1" spans="1:5">
      <c r="B1" s="2"/>
      <c r="C1" s="103" t="s">
        <v>110</v>
      </c>
      <c r="D1" s="103"/>
    </row>
    <row r="2" spans="1:5">
      <c r="B2" s="2"/>
      <c r="C2" s="103" t="s">
        <v>0</v>
      </c>
      <c r="D2" s="103"/>
    </row>
    <row r="3" spans="1:5">
      <c r="B3" s="2"/>
      <c r="C3" s="45"/>
      <c r="D3" s="45"/>
    </row>
    <row r="4" spans="1:5" ht="84.75" customHeight="1">
      <c r="A4" s="110" t="s">
        <v>195</v>
      </c>
      <c r="B4" s="110"/>
      <c r="C4" s="110"/>
      <c r="D4" s="111"/>
    </row>
    <row r="5" spans="1:5">
      <c r="A5" s="104" t="s">
        <v>1</v>
      </c>
      <c r="B5" s="97"/>
      <c r="C5" s="112" t="s">
        <v>111</v>
      </c>
      <c r="D5" s="106"/>
    </row>
    <row r="6" spans="1:5">
      <c r="A6" s="104" t="s">
        <v>2</v>
      </c>
      <c r="B6" s="97"/>
      <c r="C6" s="105">
        <v>7</v>
      </c>
      <c r="D6" s="106"/>
    </row>
    <row r="7" spans="1:5" ht="12.75" customHeight="1">
      <c r="A7" s="105" t="s">
        <v>90</v>
      </c>
      <c r="B7" s="97"/>
      <c r="C7" s="107">
        <v>27749</v>
      </c>
      <c r="D7" s="109"/>
    </row>
    <row r="8" spans="1:5">
      <c r="A8" s="91" t="s">
        <v>3</v>
      </c>
      <c r="B8" s="92"/>
      <c r="C8" s="93">
        <v>26672.400000000001</v>
      </c>
      <c r="D8" s="95"/>
    </row>
    <row r="9" spans="1:5">
      <c r="A9" s="91" t="s">
        <v>4</v>
      </c>
      <c r="B9" s="92"/>
      <c r="C9" s="93">
        <v>1076.5999999999999</v>
      </c>
      <c r="D9" s="95"/>
      <c r="E9" s="38"/>
    </row>
    <row r="10" spans="1:5">
      <c r="A10" s="91" t="s">
        <v>91</v>
      </c>
      <c r="B10" s="92"/>
      <c r="C10" s="93">
        <v>9677.1</v>
      </c>
      <c r="D10" s="95"/>
    </row>
    <row r="11" spans="1:5">
      <c r="A11" s="91" t="s">
        <v>92</v>
      </c>
      <c r="B11" s="92"/>
      <c r="C11" s="93">
        <v>26672.400000000001</v>
      </c>
      <c r="D11" s="95"/>
      <c r="E11" s="38"/>
    </row>
    <row r="12" spans="1:5" ht="51">
      <c r="A12" s="96" t="s">
        <v>5</v>
      </c>
      <c r="B12" s="97"/>
      <c r="C12" s="33" t="s">
        <v>6</v>
      </c>
      <c r="D12" s="4" t="s">
        <v>7</v>
      </c>
    </row>
    <row r="13" spans="1:5" ht="12.75" customHeight="1">
      <c r="A13" s="84" t="s">
        <v>93</v>
      </c>
      <c r="B13" s="85"/>
      <c r="C13" s="85"/>
      <c r="D13" s="86"/>
    </row>
    <row r="14" spans="1:5" ht="174" customHeight="1">
      <c r="A14" s="5" t="s">
        <v>94</v>
      </c>
      <c r="B14" s="22" t="s">
        <v>9</v>
      </c>
      <c r="C14" s="42" t="s">
        <v>114</v>
      </c>
      <c r="D14" s="7">
        <v>3.5000770440887026</v>
      </c>
      <c r="E14" s="46">
        <v>1.0900000000000001</v>
      </c>
    </row>
    <row r="15" spans="1:5" ht="84">
      <c r="A15" s="5"/>
      <c r="B15" s="57" t="s">
        <v>116</v>
      </c>
      <c r="C15" s="56" t="s">
        <v>117</v>
      </c>
      <c r="D15" s="13">
        <v>0.10540920393527695</v>
      </c>
      <c r="E15" s="46"/>
    </row>
    <row r="16" spans="1:5" ht="129" customHeight="1">
      <c r="A16" s="5" t="s">
        <v>95</v>
      </c>
      <c r="B16" s="22" t="s">
        <v>10</v>
      </c>
      <c r="C16" s="42" t="s">
        <v>115</v>
      </c>
      <c r="D16" s="7">
        <v>1.3280749046864362</v>
      </c>
      <c r="E16" s="38"/>
    </row>
    <row r="17" spans="1:6" ht="22.5">
      <c r="A17" s="5" t="s">
        <v>96</v>
      </c>
      <c r="B17" s="34" t="s">
        <v>11</v>
      </c>
      <c r="C17" s="43" t="s">
        <v>123</v>
      </c>
      <c r="D17" s="7">
        <v>1.2357580036179172</v>
      </c>
    </row>
    <row r="18" spans="1:6">
      <c r="A18" s="5" t="s">
        <v>97</v>
      </c>
      <c r="B18" s="10" t="s">
        <v>12</v>
      </c>
      <c r="C18" s="11"/>
      <c r="D18" s="7">
        <v>2.2813791113496347</v>
      </c>
    </row>
    <row r="19" spans="1:6" ht="25.5">
      <c r="A19" s="5" t="s">
        <v>13</v>
      </c>
      <c r="B19" s="83" t="s">
        <v>197</v>
      </c>
      <c r="C19" s="35" t="s">
        <v>198</v>
      </c>
      <c r="D19" s="13">
        <v>2.032460654329673</v>
      </c>
    </row>
    <row r="20" spans="1:6">
      <c r="A20" s="5" t="s">
        <v>15</v>
      </c>
      <c r="B20" s="83" t="s">
        <v>16</v>
      </c>
      <c r="C20" s="35" t="s">
        <v>17</v>
      </c>
      <c r="D20" s="13">
        <v>0.20940861937838304</v>
      </c>
      <c r="F20" s="14"/>
    </row>
    <row r="21" spans="1:6">
      <c r="A21" s="5" t="s">
        <v>18</v>
      </c>
      <c r="B21" s="83" t="s">
        <v>19</v>
      </c>
      <c r="C21" s="35" t="s">
        <v>20</v>
      </c>
      <c r="D21" s="13">
        <v>5.980913072777397E-3</v>
      </c>
    </row>
    <row r="22" spans="1:6" ht="63.75">
      <c r="A22" s="5" t="s">
        <v>22</v>
      </c>
      <c r="B22" s="83" t="s">
        <v>199</v>
      </c>
      <c r="C22" s="35" t="s">
        <v>23</v>
      </c>
      <c r="D22" s="13">
        <v>1.3647992191018898E-2</v>
      </c>
    </row>
    <row r="23" spans="1:6" ht="38.25">
      <c r="A23" s="5" t="s">
        <v>25</v>
      </c>
      <c r="B23" s="83" t="s">
        <v>124</v>
      </c>
      <c r="C23" s="35" t="s">
        <v>200</v>
      </c>
      <c r="D23" s="13">
        <v>3.8069641744477288E-3</v>
      </c>
    </row>
    <row r="24" spans="1:6">
      <c r="A24" s="5" t="s">
        <v>26</v>
      </c>
      <c r="B24" s="83" t="s">
        <v>201</v>
      </c>
      <c r="C24" s="35" t="s">
        <v>202</v>
      </c>
      <c r="D24" s="13">
        <v>6.3021114509832191E-4</v>
      </c>
    </row>
    <row r="25" spans="1:6">
      <c r="A25" s="5" t="s">
        <v>27</v>
      </c>
      <c r="B25" s="83" t="s">
        <v>28</v>
      </c>
      <c r="C25" s="35" t="s">
        <v>202</v>
      </c>
      <c r="D25" s="13">
        <v>1.08170238027016E-2</v>
      </c>
      <c r="E25" s="39"/>
    </row>
    <row r="26" spans="1:6">
      <c r="A26" s="5" t="s">
        <v>29</v>
      </c>
      <c r="B26" s="83" t="s">
        <v>30</v>
      </c>
      <c r="C26" s="35" t="s">
        <v>31</v>
      </c>
      <c r="D26" s="13">
        <v>4.6267332555347332E-3</v>
      </c>
    </row>
    <row r="27" spans="1:6" ht="25.5">
      <c r="A27" s="5" t="s">
        <v>98</v>
      </c>
      <c r="B27" s="34" t="s">
        <v>32</v>
      </c>
      <c r="C27" s="32"/>
      <c r="D27" s="7">
        <v>4.9003162858536893</v>
      </c>
    </row>
    <row r="28" spans="1:6" ht="13.5">
      <c r="A28" s="5" t="s">
        <v>33</v>
      </c>
      <c r="B28" s="15" t="s">
        <v>34</v>
      </c>
      <c r="C28" s="16"/>
      <c r="D28" s="13">
        <v>2.4187546398513184</v>
      </c>
    </row>
    <row r="29" spans="1:6" ht="25.5">
      <c r="A29" s="5" t="s">
        <v>35</v>
      </c>
      <c r="B29" s="36" t="s">
        <v>36</v>
      </c>
      <c r="C29" s="18" t="s">
        <v>37</v>
      </c>
      <c r="D29" s="13">
        <v>0.99359879767335457</v>
      </c>
    </row>
    <row r="30" spans="1:6" ht="25.5">
      <c r="A30" s="5" t="s">
        <v>38</v>
      </c>
      <c r="B30" s="36" t="s">
        <v>39</v>
      </c>
      <c r="C30" s="18" t="s">
        <v>40</v>
      </c>
      <c r="D30" s="13">
        <v>1.2891182221184156</v>
      </c>
    </row>
    <row r="31" spans="1:6">
      <c r="A31" s="5" t="s">
        <v>41</v>
      </c>
      <c r="B31" s="36" t="s">
        <v>42</v>
      </c>
      <c r="C31" s="18" t="s">
        <v>43</v>
      </c>
      <c r="D31" s="13">
        <v>0.10318141291530927</v>
      </c>
    </row>
    <row r="32" spans="1:6" ht="25.5">
      <c r="A32" s="5" t="s">
        <v>44</v>
      </c>
      <c r="B32" s="36" t="s">
        <v>45</v>
      </c>
      <c r="C32" s="18" t="s">
        <v>31</v>
      </c>
      <c r="D32" s="13">
        <v>6.1562425155561162E-3</v>
      </c>
    </row>
    <row r="33" spans="1:6" ht="25.5">
      <c r="A33" s="5" t="s">
        <v>46</v>
      </c>
      <c r="B33" s="36" t="s">
        <v>47</v>
      </c>
      <c r="C33" s="18" t="s">
        <v>48</v>
      </c>
      <c r="D33" s="13">
        <v>5.2023600299560338E-3</v>
      </c>
    </row>
    <row r="34" spans="1:6">
      <c r="A34" s="5" t="s">
        <v>49</v>
      </c>
      <c r="B34" s="36" t="s">
        <v>50</v>
      </c>
      <c r="C34" s="18" t="s">
        <v>21</v>
      </c>
      <c r="D34" s="13">
        <v>1.5607259290034474E-2</v>
      </c>
    </row>
    <row r="35" spans="1:6" ht="25.5">
      <c r="A35" s="5" t="s">
        <v>51</v>
      </c>
      <c r="B35" s="36" t="s">
        <v>52</v>
      </c>
      <c r="C35" s="18" t="s">
        <v>53</v>
      </c>
      <c r="D35" s="13">
        <v>5.7366274059785947E-3</v>
      </c>
    </row>
    <row r="36" spans="1:6">
      <c r="A36" s="5" t="s">
        <v>55</v>
      </c>
      <c r="B36" s="36" t="s">
        <v>56</v>
      </c>
      <c r="C36" s="18" t="s">
        <v>57</v>
      </c>
      <c r="D36" s="13">
        <v>1.5375374274748639E-4</v>
      </c>
    </row>
    <row r="37" spans="1:6" ht="13.5">
      <c r="A37" s="5" t="s">
        <v>58</v>
      </c>
      <c r="B37" s="15" t="s">
        <v>59</v>
      </c>
      <c r="C37" s="19"/>
      <c r="D37" s="13">
        <v>2.4815616460023695</v>
      </c>
      <c r="E37" s="39"/>
    </row>
    <row r="38" spans="1:6" ht="25.5">
      <c r="A38" s="5" t="s">
        <v>60</v>
      </c>
      <c r="B38" s="36" t="s">
        <v>61</v>
      </c>
      <c r="C38" s="18" t="s">
        <v>62</v>
      </c>
      <c r="D38" s="13">
        <v>1.1150266940889972</v>
      </c>
      <c r="E38" s="38"/>
    </row>
    <row r="39" spans="1:6" ht="25.5">
      <c r="A39" s="5" t="s">
        <v>63</v>
      </c>
      <c r="B39" s="36" t="s">
        <v>64</v>
      </c>
      <c r="C39" s="18" t="s">
        <v>65</v>
      </c>
      <c r="D39" s="13">
        <v>8.6889071389233255E-2</v>
      </c>
    </row>
    <row r="40" spans="1:6">
      <c r="A40" s="5" t="s">
        <v>66</v>
      </c>
      <c r="B40" s="36" t="s">
        <v>67</v>
      </c>
      <c r="C40" s="18" t="s">
        <v>68</v>
      </c>
      <c r="D40" s="13">
        <v>0.997717032536791</v>
      </c>
    </row>
    <row r="41" spans="1:6" ht="25.5">
      <c r="A41" s="5" t="s">
        <v>69</v>
      </c>
      <c r="B41" s="36" t="s">
        <v>70</v>
      </c>
      <c r="C41" s="18" t="s">
        <v>20</v>
      </c>
      <c r="D41" s="13">
        <v>6.332217078933776E-4</v>
      </c>
    </row>
    <row r="42" spans="1:6">
      <c r="A42" s="5" t="s">
        <v>71</v>
      </c>
      <c r="B42" s="36" t="s">
        <v>72</v>
      </c>
      <c r="C42" s="17" t="s">
        <v>21</v>
      </c>
      <c r="D42" s="13">
        <v>7.5527135720626585E-3</v>
      </c>
    </row>
    <row r="43" spans="1:6">
      <c r="A43" s="5" t="s">
        <v>73</v>
      </c>
      <c r="B43" s="36" t="s">
        <v>74</v>
      </c>
      <c r="C43" s="17" t="s">
        <v>17</v>
      </c>
      <c r="D43" s="13">
        <v>7.5550790142587731E-3</v>
      </c>
      <c r="E43" s="39"/>
      <c r="F43" s="39"/>
    </row>
    <row r="44" spans="1:6">
      <c r="A44" s="5" t="s">
        <v>75</v>
      </c>
      <c r="B44" s="36" t="s">
        <v>56</v>
      </c>
      <c r="C44" s="17" t="s">
        <v>57</v>
      </c>
      <c r="D44" s="13">
        <v>1.7067023845303734E-4</v>
      </c>
    </row>
    <row r="45" spans="1:6" s="41" customFormat="1">
      <c r="A45" s="9" t="s">
        <v>76</v>
      </c>
      <c r="B45" s="20" t="s">
        <v>77</v>
      </c>
      <c r="C45" s="21" t="s">
        <v>127</v>
      </c>
      <c r="D45" s="13">
        <v>0.26601719929471335</v>
      </c>
      <c r="E45" s="40"/>
    </row>
    <row r="46" spans="1:6" ht="25.5">
      <c r="A46" s="5" t="s">
        <v>99</v>
      </c>
      <c r="B46" s="82" t="s">
        <v>193</v>
      </c>
      <c r="C46" s="55" t="s">
        <v>194</v>
      </c>
      <c r="D46" s="7">
        <v>2.0169409716266054</v>
      </c>
      <c r="E46" s="46">
        <v>1</v>
      </c>
    </row>
    <row r="47" spans="1:6" ht="25.5">
      <c r="A47" s="5" t="s">
        <v>100</v>
      </c>
      <c r="B47" s="22" t="s">
        <v>78</v>
      </c>
      <c r="C47" s="36" t="s">
        <v>54</v>
      </c>
      <c r="D47" s="7">
        <v>1.5598598139716748</v>
      </c>
    </row>
    <row r="48" spans="1:6" ht="25.5">
      <c r="A48" s="5" t="s">
        <v>101</v>
      </c>
      <c r="B48" s="22" t="s">
        <v>79</v>
      </c>
      <c r="C48" s="36" t="s">
        <v>80</v>
      </c>
      <c r="D48" s="7">
        <v>1.2609965399113483</v>
      </c>
    </row>
    <row r="49" spans="1:6">
      <c r="A49" s="5" t="s">
        <v>102</v>
      </c>
      <c r="B49" s="22" t="s">
        <v>81</v>
      </c>
      <c r="C49" s="36" t="s">
        <v>82</v>
      </c>
      <c r="D49" s="7">
        <v>9.4456023333273284E-2</v>
      </c>
    </row>
    <row r="50" spans="1:6" ht="25.5">
      <c r="A50" s="5" t="s">
        <v>103</v>
      </c>
      <c r="B50" s="22" t="s">
        <v>83</v>
      </c>
      <c r="C50" s="36" t="s">
        <v>84</v>
      </c>
      <c r="D50" s="7">
        <v>3.2609556651153242</v>
      </c>
      <c r="F50" s="47"/>
    </row>
    <row r="51" spans="1:6" ht="25.5">
      <c r="A51" s="5" t="s">
        <v>104</v>
      </c>
      <c r="B51" s="22" t="s">
        <v>112</v>
      </c>
      <c r="C51" s="36" t="s">
        <v>85</v>
      </c>
      <c r="D51" s="7">
        <v>0.25409738729323578</v>
      </c>
    </row>
    <row r="52" spans="1:6" ht="25.5">
      <c r="A52" s="5" t="s">
        <v>105</v>
      </c>
      <c r="B52" s="22" t="s">
        <v>125</v>
      </c>
      <c r="C52" s="36" t="s">
        <v>85</v>
      </c>
      <c r="D52" s="7">
        <v>0.17349261595012436</v>
      </c>
    </row>
    <row r="53" spans="1:6" ht="25.5">
      <c r="A53" s="5" t="s">
        <v>106</v>
      </c>
      <c r="B53" s="22" t="s">
        <v>118</v>
      </c>
      <c r="C53" s="54" t="s">
        <v>84</v>
      </c>
      <c r="D53" s="7">
        <v>2.6563380001681742</v>
      </c>
    </row>
    <row r="54" spans="1:6" ht="25.5">
      <c r="A54" s="23"/>
      <c r="B54" s="24" t="s">
        <v>86</v>
      </c>
      <c r="C54" s="32"/>
      <c r="D54" s="25">
        <v>24.522742366966138</v>
      </c>
      <c r="E54" s="39"/>
    </row>
    <row r="55" spans="1:6" ht="135">
      <c r="A55" s="9" t="s">
        <v>106</v>
      </c>
      <c r="B55" s="61" t="s">
        <v>122</v>
      </c>
      <c r="C55" s="44" t="s">
        <v>126</v>
      </c>
      <c r="D55" s="25">
        <v>4.9045484733932279</v>
      </c>
    </row>
    <row r="56" spans="1:6" ht="15" customHeight="1">
      <c r="A56" s="87" t="s">
        <v>107</v>
      </c>
      <c r="B56" s="88"/>
      <c r="C56" s="88"/>
      <c r="D56" s="89"/>
      <c r="E56" s="39"/>
    </row>
    <row r="57" spans="1:6" ht="25.5">
      <c r="A57" s="26" t="s">
        <v>94</v>
      </c>
      <c r="B57" s="24" t="s">
        <v>108</v>
      </c>
      <c r="C57" s="27"/>
      <c r="D57" s="7">
        <v>0.5</v>
      </c>
    </row>
    <row r="58" spans="1:6">
      <c r="B58" s="28"/>
      <c r="C58" s="28"/>
    </row>
    <row r="59" spans="1:6" ht="15.75">
      <c r="B59" s="28"/>
      <c r="C59" s="59" t="s">
        <v>119</v>
      </c>
      <c r="D59" s="60" t="s">
        <v>121</v>
      </c>
    </row>
    <row r="60" spans="1:6" ht="12.75" customHeight="1">
      <c r="B60" s="28"/>
      <c r="C60" s="98">
        <v>29.427290840359365</v>
      </c>
      <c r="D60" s="101">
        <v>8.7483031794507227E-2</v>
      </c>
    </row>
    <row r="61" spans="1:6" ht="12.75" customHeight="1">
      <c r="B61" s="28"/>
      <c r="C61" s="99"/>
      <c r="D61" s="102"/>
    </row>
    <row r="62" spans="1:6">
      <c r="B62" s="28"/>
      <c r="C62" s="28"/>
    </row>
    <row r="63" spans="1:6">
      <c r="B63" s="28"/>
      <c r="C63" s="28"/>
    </row>
    <row r="64" spans="1:6">
      <c r="B64" s="31" t="s">
        <v>87</v>
      </c>
      <c r="C64" s="28"/>
      <c r="D64" s="29" t="s">
        <v>88</v>
      </c>
    </row>
    <row r="65" spans="1:14">
      <c r="B65" s="28"/>
      <c r="C65" s="28"/>
      <c r="D65" s="29"/>
    </row>
    <row r="66" spans="1:14">
      <c r="B66" s="31" t="s">
        <v>89</v>
      </c>
      <c r="C66" s="28"/>
      <c r="D66" s="29" t="s">
        <v>109</v>
      </c>
    </row>
    <row r="67" spans="1:14">
      <c r="B67" s="28"/>
      <c r="C67" s="28"/>
    </row>
    <row r="68" spans="1:14" s="50" customFormat="1" ht="99.75" customHeight="1">
      <c r="A68" s="90" t="s">
        <v>113</v>
      </c>
      <c r="B68" s="90"/>
      <c r="C68" s="90"/>
      <c r="D68" s="90"/>
      <c r="E68" s="48"/>
      <c r="F68" s="48"/>
      <c r="G68" s="48"/>
      <c r="H68" s="48"/>
      <c r="I68" s="48"/>
      <c r="J68" s="48"/>
      <c r="K68" s="49"/>
      <c r="L68" s="49"/>
      <c r="M68" s="49"/>
      <c r="N68" s="49"/>
    </row>
    <row r="69" spans="1:14">
      <c r="B69" s="28"/>
      <c r="C69" s="28"/>
    </row>
    <row r="70" spans="1:14">
      <c r="B70" s="28"/>
      <c r="C70" s="28"/>
    </row>
    <row r="71" spans="1:14">
      <c r="B71" s="28"/>
      <c r="C71" s="28"/>
    </row>
    <row r="72" spans="1:14">
      <c r="B72" s="28"/>
      <c r="C72" s="28"/>
    </row>
    <row r="73" spans="1:14">
      <c r="B73" s="28"/>
      <c r="C73" s="28"/>
    </row>
    <row r="74" spans="1:14">
      <c r="B74" s="28"/>
      <c r="C74" s="28"/>
    </row>
    <row r="75" spans="1:14">
      <c r="B75" s="28"/>
      <c r="C75" s="28"/>
    </row>
    <row r="76" spans="1:14">
      <c r="B76" s="28"/>
      <c r="C76" s="28"/>
    </row>
    <row r="77" spans="1:14">
      <c r="B77" s="28"/>
      <c r="C77" s="28"/>
    </row>
    <row r="78" spans="1:14">
      <c r="B78" s="28"/>
      <c r="C78" s="28"/>
    </row>
    <row r="79" spans="1:14">
      <c r="B79" s="28"/>
      <c r="C79" s="28"/>
    </row>
    <row r="80" spans="1:14">
      <c r="B80" s="28"/>
      <c r="C80" s="28"/>
    </row>
    <row r="81" spans="2:3">
      <c r="B81" s="28"/>
      <c r="C81" s="28"/>
    </row>
    <row r="82" spans="2:3">
      <c r="B82" s="28"/>
      <c r="C82" s="28"/>
    </row>
    <row r="83" spans="2:3">
      <c r="B83" s="28"/>
      <c r="C83" s="28"/>
    </row>
    <row r="84" spans="2:3">
      <c r="B84" s="28"/>
      <c r="C84" s="28"/>
    </row>
    <row r="85" spans="2:3">
      <c r="B85" s="28"/>
      <c r="C85" s="28"/>
    </row>
    <row r="86" spans="2:3">
      <c r="B86" s="28"/>
      <c r="C86" s="28"/>
    </row>
    <row r="87" spans="2:3">
      <c r="B87" s="28"/>
      <c r="C87" s="28"/>
    </row>
    <row r="88" spans="2:3">
      <c r="B88" s="28"/>
      <c r="C88" s="28"/>
    </row>
    <row r="89" spans="2:3">
      <c r="B89" s="28"/>
      <c r="C89" s="28"/>
    </row>
    <row r="90" spans="2:3">
      <c r="B90" s="28"/>
      <c r="C90" s="28"/>
    </row>
    <row r="91" spans="2:3">
      <c r="B91" s="28"/>
      <c r="C91" s="28"/>
    </row>
    <row r="92" spans="2:3">
      <c r="B92" s="28"/>
      <c r="C92" s="28"/>
    </row>
    <row r="93" spans="2:3">
      <c r="B93" s="28"/>
      <c r="C93" s="28"/>
    </row>
    <row r="94" spans="2:3">
      <c r="B94" s="28"/>
      <c r="C94" s="28"/>
    </row>
    <row r="95" spans="2:3">
      <c r="B95" s="28"/>
      <c r="C95" s="28"/>
    </row>
    <row r="96" spans="2:3">
      <c r="B96" s="28"/>
      <c r="C96" s="28"/>
    </row>
    <row r="97" spans="2:3">
      <c r="B97" s="28"/>
      <c r="C97" s="28"/>
    </row>
    <row r="98" spans="2:3">
      <c r="B98" s="28"/>
      <c r="C98" s="28"/>
    </row>
    <row r="99" spans="2:3">
      <c r="B99" s="28"/>
      <c r="C99" s="28"/>
    </row>
    <row r="100" spans="2:3">
      <c r="B100" s="28"/>
      <c r="C100" s="28"/>
    </row>
    <row r="101" spans="2:3">
      <c r="B101" s="28"/>
      <c r="C101" s="28"/>
    </row>
    <row r="102" spans="2:3">
      <c r="B102" s="28"/>
      <c r="C102" s="28"/>
    </row>
    <row r="103" spans="2:3">
      <c r="B103" s="28"/>
      <c r="C103" s="28"/>
    </row>
    <row r="104" spans="2:3">
      <c r="B104" s="28"/>
      <c r="C104" s="28"/>
    </row>
  </sheetData>
  <mergeCells count="23">
    <mergeCell ref="C1:D1"/>
    <mergeCell ref="A6:B6"/>
    <mergeCell ref="C6:D6"/>
    <mergeCell ref="A7:B7"/>
    <mergeCell ref="C7:D7"/>
    <mergeCell ref="A4:D4"/>
    <mergeCell ref="A5:B5"/>
    <mergeCell ref="C5:D5"/>
    <mergeCell ref="C2:D2"/>
    <mergeCell ref="A13:D13"/>
    <mergeCell ref="A56:D56"/>
    <mergeCell ref="A68:D68"/>
    <mergeCell ref="A8:B8"/>
    <mergeCell ref="C8:D8"/>
    <mergeCell ref="A9:B9"/>
    <mergeCell ref="C9:D9"/>
    <mergeCell ref="A12:B12"/>
    <mergeCell ref="A10:B10"/>
    <mergeCell ref="C10:D10"/>
    <mergeCell ref="A11:B11"/>
    <mergeCell ref="C11:D11"/>
    <mergeCell ref="C60:C61"/>
    <mergeCell ref="D60:D61"/>
  </mergeCells>
  <pageMargins left="0.55118110236220474" right="0.35433070866141736" top="0.55118110236220474" bottom="0.55118110236220474" header="0.15748031496062992" footer="0.15748031496062992"/>
  <pageSetup scale="75" orientation="portrait" r:id="rId1"/>
  <rowBreaks count="1" manualBreakCount="1">
    <brk id="3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04"/>
  <sheetViews>
    <sheetView view="pageBreakPreview" topLeftCell="A16" zoomScale="85" zoomScaleSheetLayoutView="85" workbookViewId="0">
      <selection activeCell="B19" sqref="B19:C26"/>
    </sheetView>
  </sheetViews>
  <sheetFormatPr defaultRowHeight="12.75"/>
  <cols>
    <col min="1" max="1" width="4.5703125" style="1" customWidth="1"/>
    <col min="2" max="2" width="38.5703125" style="3" customWidth="1"/>
    <col min="3" max="3" width="57.42578125" style="3" customWidth="1"/>
    <col min="4" max="4" width="2.7109375" style="29" hidden="1" customWidth="1"/>
    <col min="5" max="5" width="19.28515625" style="29" hidden="1" customWidth="1"/>
    <col min="6" max="6" width="19.28515625" style="30" customWidth="1"/>
    <col min="7" max="7" width="11.42578125" style="80" bestFit="1" customWidth="1"/>
    <col min="8" max="16384" width="9.140625" style="37"/>
  </cols>
  <sheetData>
    <row r="1" spans="1:7">
      <c r="B1" s="2"/>
      <c r="C1" s="103" t="s">
        <v>110</v>
      </c>
      <c r="D1" s="103"/>
      <c r="E1" s="103"/>
      <c r="F1" s="103"/>
    </row>
    <row r="2" spans="1:7">
      <c r="B2" s="2"/>
      <c r="C2" s="103" t="s">
        <v>0</v>
      </c>
      <c r="D2" s="103"/>
      <c r="E2" s="103"/>
      <c r="F2" s="103"/>
    </row>
    <row r="3" spans="1:7">
      <c r="B3" s="2"/>
      <c r="C3" s="52"/>
      <c r="D3" s="52"/>
      <c r="E3" s="52"/>
      <c r="F3" s="52"/>
    </row>
    <row r="4" spans="1:7" ht="84.75" customHeight="1">
      <c r="A4" s="110" t="s">
        <v>195</v>
      </c>
      <c r="B4" s="110"/>
      <c r="C4" s="110"/>
      <c r="D4" s="110"/>
      <c r="E4" s="110"/>
      <c r="F4" s="111"/>
    </row>
    <row r="5" spans="1:7">
      <c r="A5" s="104" t="s">
        <v>1</v>
      </c>
      <c r="B5" s="97"/>
      <c r="C5" s="112" t="s">
        <v>111</v>
      </c>
      <c r="D5" s="112"/>
      <c r="E5" s="112"/>
      <c r="F5" s="106"/>
    </row>
    <row r="6" spans="1:7">
      <c r="A6" s="104" t="s">
        <v>2</v>
      </c>
      <c r="B6" s="97"/>
      <c r="C6" s="105">
        <v>7</v>
      </c>
      <c r="D6" s="105"/>
      <c r="E6" s="106"/>
      <c r="F6" s="106"/>
    </row>
    <row r="7" spans="1:7" ht="12.75" customHeight="1">
      <c r="A7" s="105" t="s">
        <v>90</v>
      </c>
      <c r="B7" s="97"/>
      <c r="C7" s="107">
        <f>C9+C8</f>
        <v>27749</v>
      </c>
      <c r="D7" s="107"/>
      <c r="E7" s="108"/>
      <c r="F7" s="109"/>
    </row>
    <row r="8" spans="1:7">
      <c r="A8" s="91" t="s">
        <v>3</v>
      </c>
      <c r="B8" s="92"/>
      <c r="C8" s="93">
        <v>26672.400000000001</v>
      </c>
      <c r="D8" s="113"/>
      <c r="E8" s="94"/>
      <c r="F8" s="95"/>
    </row>
    <row r="9" spans="1:7">
      <c r="A9" s="91" t="s">
        <v>4</v>
      </c>
      <c r="B9" s="92"/>
      <c r="C9" s="93">
        <v>1076.5999999999999</v>
      </c>
      <c r="D9" s="113"/>
      <c r="E9" s="94"/>
      <c r="F9" s="95"/>
    </row>
    <row r="10" spans="1:7">
      <c r="A10" s="91" t="s">
        <v>91</v>
      </c>
      <c r="B10" s="92"/>
      <c r="C10" s="93">
        <v>9677.1</v>
      </c>
      <c r="D10" s="113"/>
      <c r="E10" s="94"/>
      <c r="F10" s="95"/>
    </row>
    <row r="11" spans="1:7">
      <c r="A11" s="91" t="s">
        <v>92</v>
      </c>
      <c r="B11" s="92"/>
      <c r="C11" s="93">
        <f>C8</f>
        <v>26672.400000000001</v>
      </c>
      <c r="D11" s="113"/>
      <c r="E11" s="94"/>
      <c r="F11" s="95"/>
    </row>
    <row r="12" spans="1:7" ht="51">
      <c r="A12" s="96" t="s">
        <v>5</v>
      </c>
      <c r="B12" s="97"/>
      <c r="C12" s="51" t="s">
        <v>6</v>
      </c>
      <c r="D12" s="4" t="s">
        <v>192</v>
      </c>
      <c r="E12" s="4" t="s">
        <v>8</v>
      </c>
      <c r="F12" s="4" t="s">
        <v>7</v>
      </c>
    </row>
    <row r="13" spans="1:7" ht="12.75" customHeight="1">
      <c r="A13" s="84" t="s">
        <v>93</v>
      </c>
      <c r="B13" s="85"/>
      <c r="C13" s="85"/>
      <c r="D13" s="85"/>
      <c r="E13" s="85"/>
      <c r="F13" s="86"/>
    </row>
    <row r="14" spans="1:7" ht="161.25" customHeight="1">
      <c r="A14" s="5" t="s">
        <v>94</v>
      </c>
      <c r="B14" s="22" t="s">
        <v>9</v>
      </c>
      <c r="C14" s="42" t="s">
        <v>114</v>
      </c>
      <c r="D14" s="6">
        <f>((1.063*976583.09)*1.03)*1.09</f>
        <v>1165483.6547570089</v>
      </c>
      <c r="E14" s="6">
        <f>((1.063*976583.09)*1.03)*1.09</f>
        <v>1165483.6547570089</v>
      </c>
      <c r="F14" s="7">
        <f>E14/12/$C$7</f>
        <v>3.5000770440887026</v>
      </c>
      <c r="G14" s="80">
        <v>1.0900000000000001</v>
      </c>
    </row>
    <row r="15" spans="1:7" ht="72">
      <c r="A15" s="5"/>
      <c r="B15" s="57" t="s">
        <v>116</v>
      </c>
      <c r="C15" s="56" t="s">
        <v>117</v>
      </c>
      <c r="D15" s="58">
        <f>900*26+300*39</f>
        <v>35100</v>
      </c>
      <c r="E15" s="58">
        <f>900*26+300*39</f>
        <v>35100</v>
      </c>
      <c r="F15" s="13">
        <f>E15/12/$C$7</f>
        <v>0.10540920393527695</v>
      </c>
    </row>
    <row r="16" spans="1:7" ht="116.25" customHeight="1">
      <c r="A16" s="5" t="s">
        <v>95</v>
      </c>
      <c r="B16" s="22" t="s">
        <v>10</v>
      </c>
      <c r="C16" s="42" t="s">
        <v>115</v>
      </c>
      <c r="D16" s="6">
        <f>((1.063*370556.27)*1.03)*1.09</f>
        <v>442233.00636172702</v>
      </c>
      <c r="E16" s="6">
        <f>((1.063*370556.27)*1.03)*1.09</f>
        <v>442233.00636172702</v>
      </c>
      <c r="F16" s="7">
        <f t="shared" ref="F16:F55" si="0">E16/12/$C$7</f>
        <v>1.3280749046864362</v>
      </c>
    </row>
    <row r="17" spans="1:7" ht="22.5">
      <c r="A17" s="5" t="s">
        <v>96</v>
      </c>
      <c r="B17" s="54" t="s">
        <v>11</v>
      </c>
      <c r="C17" s="43" t="s">
        <v>123</v>
      </c>
      <c r="D17" s="8">
        <f>((1.063*344798.23)*1.03)*1.09</f>
        <v>411492.58610872302</v>
      </c>
      <c r="E17" s="8">
        <f>((1.063*344798.23)*1.03)*1.09</f>
        <v>411492.58610872302</v>
      </c>
      <c r="F17" s="7">
        <f t="shared" si="0"/>
        <v>1.2357580036179172</v>
      </c>
    </row>
    <row r="18" spans="1:7">
      <c r="A18" s="5" t="s">
        <v>97</v>
      </c>
      <c r="B18" s="10" t="s">
        <v>12</v>
      </c>
      <c r="C18" s="11"/>
      <c r="D18" s="8">
        <f>((1.063*636544.92)*1.03)*1.09</f>
        <v>759671.86753009213</v>
      </c>
      <c r="E18" s="8">
        <v>1891065.6839388954</v>
      </c>
      <c r="F18" s="7">
        <f t="shared" si="0"/>
        <v>5.6790805792968371</v>
      </c>
      <c r="G18" s="80">
        <v>1891065.6839388954</v>
      </c>
    </row>
    <row r="19" spans="1:7" ht="25.5">
      <c r="A19" s="5" t="s">
        <v>13</v>
      </c>
      <c r="B19" s="83" t="s">
        <v>14</v>
      </c>
      <c r="C19" s="35" t="s">
        <v>203</v>
      </c>
      <c r="D19" s="12">
        <f>((1.063*567092.29)*1.03)*1.09</f>
        <v>676785.00836392911</v>
      </c>
      <c r="E19" s="12">
        <v>676785.00836392911</v>
      </c>
      <c r="F19" s="13">
        <f t="shared" si="0"/>
        <v>2.032460654329673</v>
      </c>
      <c r="G19" s="80">
        <f>D19*$E$18/$D$18</f>
        <v>1684733.8428925399</v>
      </c>
    </row>
    <row r="20" spans="1:7">
      <c r="A20" s="5" t="s">
        <v>15</v>
      </c>
      <c r="B20" s="83" t="s">
        <v>16</v>
      </c>
      <c r="C20" s="35" t="s">
        <v>17</v>
      </c>
      <c r="D20" s="12">
        <f>((1.063*58428.69)*1.03)*1.09</f>
        <v>69730.557349569004</v>
      </c>
      <c r="E20" s="12">
        <v>69730.557349569004</v>
      </c>
      <c r="F20" s="13">
        <f t="shared" si="0"/>
        <v>0.20940861937838304</v>
      </c>
      <c r="G20" s="80">
        <f t="shared" ref="G20:G25" si="1">D20*$E$18/$D$18</f>
        <v>173581.60774655727</v>
      </c>
    </row>
    <row r="21" spans="1:7">
      <c r="A21" s="5" t="s">
        <v>18</v>
      </c>
      <c r="B21" s="83" t="s">
        <v>19</v>
      </c>
      <c r="C21" s="35" t="s">
        <v>20</v>
      </c>
      <c r="D21" s="12">
        <f>((1.063*1668.78)*1.03)*1.09</f>
        <v>1991.5722822779999</v>
      </c>
      <c r="E21" s="12">
        <v>1991.5722822779999</v>
      </c>
      <c r="F21" s="13">
        <f t="shared" si="0"/>
        <v>5.980913072777397E-3</v>
      </c>
      <c r="G21" s="80">
        <f t="shared" si="1"/>
        <v>4957.6589065286216</v>
      </c>
    </row>
    <row r="22" spans="1:7" ht="63.75">
      <c r="A22" s="5" t="s">
        <v>22</v>
      </c>
      <c r="B22" s="83" t="s">
        <v>199</v>
      </c>
      <c r="C22" s="35" t="s">
        <v>23</v>
      </c>
      <c r="D22" s="14">
        <f>((1.063*3808.03)*1.03)*1.09</f>
        <v>4544.6176237030004</v>
      </c>
      <c r="E22" s="14">
        <v>4544.6176237030004</v>
      </c>
      <c r="F22" s="13">
        <f t="shared" si="0"/>
        <v>1.3647992191018898E-2</v>
      </c>
      <c r="G22" s="80">
        <f t="shared" si="1"/>
        <v>11313.003419161418</v>
      </c>
    </row>
    <row r="23" spans="1:7" ht="38.25">
      <c r="A23" s="5" t="s">
        <v>25</v>
      </c>
      <c r="B23" s="83" t="s">
        <v>124</v>
      </c>
      <c r="C23" s="35" t="s">
        <v>17</v>
      </c>
      <c r="D23" s="14">
        <f>((1.063*1062.21)*1.03)*1.09</f>
        <v>1267.6733865210003</v>
      </c>
      <c r="E23" s="14">
        <v>1267.6733865210003</v>
      </c>
      <c r="F23" s="13">
        <f t="shared" si="0"/>
        <v>3.8069641744477288E-3</v>
      </c>
      <c r="G23" s="80">
        <f t="shared" si="1"/>
        <v>3155.6435642228266</v>
      </c>
    </row>
    <row r="24" spans="1:7">
      <c r="A24" s="5" t="s">
        <v>26</v>
      </c>
      <c r="B24" s="83" t="s">
        <v>204</v>
      </c>
      <c r="C24" s="35" t="s">
        <v>24</v>
      </c>
      <c r="D24" s="14">
        <f>((1.063*175.84)*1.03)*1.09</f>
        <v>209.852748784</v>
      </c>
      <c r="E24" s="14">
        <v>209.852748784</v>
      </c>
      <c r="F24" s="13">
        <f t="shared" si="0"/>
        <v>6.3021114509832191E-4</v>
      </c>
      <c r="G24" s="80">
        <f t="shared" si="1"/>
        <v>522.39045417849741</v>
      </c>
    </row>
    <row r="25" spans="1:7">
      <c r="A25" s="5" t="s">
        <v>27</v>
      </c>
      <c r="B25" s="83" t="s">
        <v>28</v>
      </c>
      <c r="C25" s="35" t="s">
        <v>24</v>
      </c>
      <c r="D25" s="14">
        <f>((1.063*3018.14)*1.03)*1.09</f>
        <v>3601.9391220140005</v>
      </c>
      <c r="E25" s="14">
        <v>3601.9391220140005</v>
      </c>
      <c r="F25" s="13">
        <f t="shared" si="0"/>
        <v>1.08170238027016E-2</v>
      </c>
      <c r="G25" s="80">
        <f t="shared" si="1"/>
        <v>8966.3758267418689</v>
      </c>
    </row>
    <row r="26" spans="1:7">
      <c r="A26" s="5" t="s">
        <v>29</v>
      </c>
      <c r="B26" s="83" t="s">
        <v>30</v>
      </c>
      <c r="C26" s="35" t="s">
        <v>31</v>
      </c>
      <c r="D26" s="14">
        <f>((1.063*1290.94)*1.03)*1.09</f>
        <v>1540.6466532939999</v>
      </c>
      <c r="E26" s="14">
        <v>1540.6466532940001</v>
      </c>
      <c r="F26" s="13">
        <f t="shared" si="0"/>
        <v>4.6267332555347341E-3</v>
      </c>
      <c r="G26" s="80">
        <f>D26*$E$18/$D$18</f>
        <v>3835.1611289649077</v>
      </c>
    </row>
    <row r="27" spans="1:7" ht="25.5">
      <c r="A27" s="5" t="s">
        <v>98</v>
      </c>
      <c r="B27" s="54" t="s">
        <v>32</v>
      </c>
      <c r="C27" s="32"/>
      <c r="D27" s="8">
        <f>((1.063*1367274.48)*1.03)*1.09</f>
        <v>1631746.519393848</v>
      </c>
      <c r="E27" s="8">
        <f>((1.063*1367274.48)*1.03)*1.09</f>
        <v>1631746.519393848</v>
      </c>
      <c r="F27" s="7">
        <f t="shared" si="0"/>
        <v>4.9003162858536893</v>
      </c>
    </row>
    <row r="28" spans="1:7" ht="13.5">
      <c r="A28" s="5" t="s">
        <v>33</v>
      </c>
      <c r="B28" s="15" t="s">
        <v>34</v>
      </c>
      <c r="C28" s="16"/>
      <c r="D28" s="14">
        <f>((1.063*674875.11)*1.03)*1.09</f>
        <v>805416.27001481096</v>
      </c>
      <c r="E28" s="14">
        <f>((1.063*674875.11)*1.03)*1.09</f>
        <v>805416.27001481096</v>
      </c>
      <c r="F28" s="13">
        <f t="shared" si="0"/>
        <v>2.4187546398513184</v>
      </c>
    </row>
    <row r="29" spans="1:7" ht="25.5">
      <c r="A29" s="5" t="s">
        <v>35</v>
      </c>
      <c r="B29" s="53" t="s">
        <v>36</v>
      </c>
      <c r="C29" s="18" t="s">
        <v>37</v>
      </c>
      <c r="D29" s="14">
        <f>((1.063*277231.55)*1.03)*1.09</f>
        <v>330856.476439655</v>
      </c>
      <c r="E29" s="14">
        <f>((1.063*277231.55)*1.03)*1.09</f>
        <v>330856.476439655</v>
      </c>
      <c r="F29" s="13">
        <f t="shared" si="0"/>
        <v>0.99359879767335457</v>
      </c>
    </row>
    <row r="30" spans="1:7" ht="25.5">
      <c r="A30" s="5" t="s">
        <v>38</v>
      </c>
      <c r="B30" s="53" t="s">
        <v>39</v>
      </c>
      <c r="C30" s="18" t="s">
        <v>40</v>
      </c>
      <c r="D30" s="14">
        <f>((1.063*359686.67)*1.03)*1.09</f>
        <v>429260.89854676696</v>
      </c>
      <c r="E30" s="14">
        <f>((1.063*359686.67)*1.03)*1.09</f>
        <v>429260.89854676696</v>
      </c>
      <c r="F30" s="13">
        <f t="shared" si="0"/>
        <v>1.2891182221184156</v>
      </c>
    </row>
    <row r="31" spans="1:7">
      <c r="A31" s="5" t="s">
        <v>41</v>
      </c>
      <c r="B31" s="53" t="s">
        <v>42</v>
      </c>
      <c r="C31" s="18" t="s">
        <v>43</v>
      </c>
      <c r="D31" s="14">
        <f>((1.063*28789.43)*1.03)*1.09</f>
        <v>34358.172323843006</v>
      </c>
      <c r="E31" s="14">
        <f>((1.063*28789.43)*1.03)*1.09</f>
        <v>34358.172323843006</v>
      </c>
      <c r="F31" s="13">
        <f t="shared" si="0"/>
        <v>0.10318141291530927</v>
      </c>
    </row>
    <row r="32" spans="1:7" ht="25.5">
      <c r="A32" s="5" t="s">
        <v>44</v>
      </c>
      <c r="B32" s="53" t="s">
        <v>45</v>
      </c>
      <c r="C32" s="18" t="s">
        <v>31</v>
      </c>
      <c r="D32" s="14">
        <f>((1.063*1717.7)*1.03)*1.09</f>
        <v>2049.95488277</v>
      </c>
      <c r="E32" s="14">
        <f>((1.063*1717.7)*1.03)*1.09</f>
        <v>2049.95488277</v>
      </c>
      <c r="F32" s="13">
        <f t="shared" si="0"/>
        <v>6.1562425155561162E-3</v>
      </c>
    </row>
    <row r="33" spans="1:7" ht="25.5">
      <c r="A33" s="5" t="s">
        <v>46</v>
      </c>
      <c r="B33" s="53" t="s">
        <v>47</v>
      </c>
      <c r="C33" s="18" t="s">
        <v>48</v>
      </c>
      <c r="D33" s="14">
        <f>((1.063*1451.55)*1.03)*1.09</f>
        <v>1732.3234616549998</v>
      </c>
      <c r="E33" s="14">
        <f>((1.063*1451.55)*1.03)*1.09</f>
        <v>1732.3234616549998</v>
      </c>
      <c r="F33" s="13">
        <f t="shared" si="0"/>
        <v>5.2023600299560338E-3</v>
      </c>
    </row>
    <row r="34" spans="1:7">
      <c r="A34" s="5" t="s">
        <v>49</v>
      </c>
      <c r="B34" s="53" t="s">
        <v>50</v>
      </c>
      <c r="C34" s="18" t="s">
        <v>21</v>
      </c>
      <c r="D34" s="14">
        <f>((1.063*4354.7)*1.03)*1.09</f>
        <v>5197.0300564699992</v>
      </c>
      <c r="E34" s="14">
        <f>((1.063*4354.7)*1.03)*1.09</f>
        <v>5197.0300564699992</v>
      </c>
      <c r="F34" s="13">
        <f t="shared" si="0"/>
        <v>1.5607259290034474E-2</v>
      </c>
    </row>
    <row r="35" spans="1:7" ht="25.5">
      <c r="A35" s="5" t="s">
        <v>51</v>
      </c>
      <c r="B35" s="53" t="s">
        <v>52</v>
      </c>
      <c r="C35" s="18" t="s">
        <v>53</v>
      </c>
      <c r="D35" s="14">
        <f>((1.063*1600.62)*1.03)*1.09</f>
        <v>1910.2280866620001</v>
      </c>
      <c r="E35" s="14">
        <f>((1.063*1600.62)*1.03)*1.09</f>
        <v>1910.2280866620001</v>
      </c>
      <c r="F35" s="13">
        <f t="shared" si="0"/>
        <v>5.7366274059785947E-3</v>
      </c>
    </row>
    <row r="36" spans="1:7">
      <c r="A36" s="5" t="s">
        <v>55</v>
      </c>
      <c r="B36" s="53" t="s">
        <v>56</v>
      </c>
      <c r="C36" s="18" t="s">
        <v>57</v>
      </c>
      <c r="D36" s="14">
        <f>((1.063*42.9)*1.03)*1.09</f>
        <v>51.198151290000006</v>
      </c>
      <c r="E36" s="14">
        <f>((1.063*42.9)*1.03)*1.09</f>
        <v>51.198151290000006</v>
      </c>
      <c r="F36" s="13">
        <f t="shared" si="0"/>
        <v>1.5375374274748639E-4</v>
      </c>
    </row>
    <row r="37" spans="1:7" ht="13.5">
      <c r="A37" s="5" t="s">
        <v>58</v>
      </c>
      <c r="B37" s="15" t="s">
        <v>59</v>
      </c>
      <c r="C37" s="19"/>
      <c r="D37" s="14">
        <f>((1.063*692399.37)*1.03)*1.09</f>
        <v>826330.24937903706</v>
      </c>
      <c r="E37" s="14">
        <f>((1.063*692399.37)*1.03)*1.09</f>
        <v>826330.24937903706</v>
      </c>
      <c r="F37" s="13">
        <f t="shared" si="0"/>
        <v>2.4815616460023695</v>
      </c>
    </row>
    <row r="38" spans="1:7" ht="25.5">
      <c r="A38" s="5" t="s">
        <v>60</v>
      </c>
      <c r="B38" s="53" t="s">
        <v>61</v>
      </c>
      <c r="C38" s="18" t="s">
        <v>62</v>
      </c>
      <c r="D38" s="14">
        <f>((1.063*311112.07)*1.03)*1.09</f>
        <v>371290.50881130702</v>
      </c>
      <c r="E38" s="14">
        <f>((1.063*311112.07)*1.03)*1.09</f>
        <v>371290.50881130702</v>
      </c>
      <c r="F38" s="13">
        <f t="shared" si="0"/>
        <v>1.1150266940889972</v>
      </c>
    </row>
    <row r="39" spans="1:7" ht="25.5">
      <c r="A39" s="5" t="s">
        <v>63</v>
      </c>
      <c r="B39" s="53" t="s">
        <v>64</v>
      </c>
      <c r="C39" s="18" t="s">
        <v>65</v>
      </c>
      <c r="D39" s="14">
        <f>((1.063*24243.58)*1.03)*1.09</f>
        <v>28933.018103758001</v>
      </c>
      <c r="E39" s="14">
        <f>((1.063*24243.58)*1.03)*1.09</f>
        <v>28933.018103758001</v>
      </c>
      <c r="F39" s="13">
        <f t="shared" si="0"/>
        <v>8.6889071389233255E-2</v>
      </c>
    </row>
    <row r="40" spans="1:7">
      <c r="A40" s="5" t="s">
        <v>66</v>
      </c>
      <c r="B40" s="53" t="s">
        <v>67</v>
      </c>
      <c r="C40" s="18" t="s">
        <v>68</v>
      </c>
      <c r="D40" s="14">
        <f>((1.063*278380.61)*1.03)*1.09</f>
        <v>332227.79923036095</v>
      </c>
      <c r="E40" s="14">
        <f>((1.063*278380.61)*1.03)*1.09</f>
        <v>332227.79923036095</v>
      </c>
      <c r="F40" s="13">
        <f t="shared" si="0"/>
        <v>0.997717032536791</v>
      </c>
    </row>
    <row r="41" spans="1:7" ht="25.5">
      <c r="A41" s="5" t="s">
        <v>69</v>
      </c>
      <c r="B41" s="53" t="s">
        <v>70</v>
      </c>
      <c r="C41" s="18" t="s">
        <v>20</v>
      </c>
      <c r="D41" s="14">
        <f>((1.063*176.68)*1.03)*1.09</f>
        <v>210.855230068</v>
      </c>
      <c r="E41" s="14">
        <f>((1.063*176.68)*1.03)*1.09</f>
        <v>210.855230068</v>
      </c>
      <c r="F41" s="13">
        <f t="shared" si="0"/>
        <v>6.332217078933776E-4</v>
      </c>
    </row>
    <row r="42" spans="1:7">
      <c r="A42" s="5" t="s">
        <v>71</v>
      </c>
      <c r="B42" s="53" t="s">
        <v>72</v>
      </c>
      <c r="C42" s="17" t="s">
        <v>21</v>
      </c>
      <c r="D42" s="14">
        <f>((1.063*2107.34)*1.03)*1.09</f>
        <v>2514.9629869340006</v>
      </c>
      <c r="E42" s="14">
        <f>((1.063*2107.34)*1.03)*1.09</f>
        <v>2514.9629869340006</v>
      </c>
      <c r="F42" s="13">
        <f t="shared" si="0"/>
        <v>7.5527135720626585E-3</v>
      </c>
    </row>
    <row r="43" spans="1:7">
      <c r="A43" s="5" t="s">
        <v>73</v>
      </c>
      <c r="B43" s="53" t="s">
        <v>74</v>
      </c>
      <c r="C43" s="17" t="s">
        <v>17</v>
      </c>
      <c r="D43" s="14">
        <f>((1.063*2108)*1.03)*1.09</f>
        <v>2515.7506508000001</v>
      </c>
      <c r="E43" s="14">
        <f>((1.063*2108)*1.03)*1.09</f>
        <v>2515.7506508000001</v>
      </c>
      <c r="F43" s="13">
        <f t="shared" si="0"/>
        <v>7.5550790142587731E-3</v>
      </c>
    </row>
    <row r="44" spans="1:7">
      <c r="A44" s="5" t="s">
        <v>75</v>
      </c>
      <c r="B44" s="53" t="s">
        <v>56</v>
      </c>
      <c r="C44" s="17" t="s">
        <v>57</v>
      </c>
      <c r="D44" s="14">
        <f>((1.063*47.62)*1.03)*1.09</f>
        <v>56.831141361999997</v>
      </c>
      <c r="E44" s="14">
        <f>((1.063*47.62)*1.03)*1.09</f>
        <v>56.831141361999997</v>
      </c>
      <c r="F44" s="13">
        <f t="shared" si="0"/>
        <v>1.7067023845303734E-4</v>
      </c>
    </row>
    <row r="45" spans="1:7" s="41" customFormat="1">
      <c r="A45" s="9" t="s">
        <v>76</v>
      </c>
      <c r="B45" s="20" t="s">
        <v>77</v>
      </c>
      <c r="C45" s="21" t="s">
        <v>127</v>
      </c>
      <c r="D45" s="14">
        <f>((1.063*74223.48)*1.03)*1.09</f>
        <v>88580.535158747996</v>
      </c>
      <c r="E45" s="14">
        <f>((1.063*74223.48)*1.03)*1.09</f>
        <v>88580.535158747996</v>
      </c>
      <c r="F45" s="13">
        <f t="shared" si="0"/>
        <v>0.26601719929471335</v>
      </c>
      <c r="G45" s="80"/>
    </row>
    <row r="46" spans="1:7" ht="25.5">
      <c r="A46" s="5" t="s">
        <v>99</v>
      </c>
      <c r="B46" s="82" t="s">
        <v>193</v>
      </c>
      <c r="C46" s="55" t="s">
        <v>194</v>
      </c>
      <c r="D46" s="8">
        <f>((1.1*560147.74))*1.09</f>
        <v>671617.14026000013</v>
      </c>
      <c r="E46" s="8">
        <f>((1.1*560147.74))*1.09</f>
        <v>671617.14026000013</v>
      </c>
      <c r="F46" s="7">
        <f t="shared" si="0"/>
        <v>2.0169409716266054</v>
      </c>
      <c r="G46" s="80">
        <v>1</v>
      </c>
    </row>
    <row r="47" spans="1:7" ht="25.5">
      <c r="A47" s="5" t="s">
        <v>100</v>
      </c>
      <c r="B47" s="22" t="s">
        <v>78</v>
      </c>
      <c r="C47" s="53" t="s">
        <v>54</v>
      </c>
      <c r="D47" s="8">
        <f>((1.1*420588.84)*1.03)*1.09</f>
        <v>519414.59973480005</v>
      </c>
      <c r="E47" s="8">
        <f>((1.1*420588.84)*1.03)*1.09</f>
        <v>519414.59973480005</v>
      </c>
      <c r="F47" s="7">
        <f t="shared" si="0"/>
        <v>1.5598598139716748</v>
      </c>
    </row>
    <row r="48" spans="1:7" ht="25.5">
      <c r="A48" s="5" t="s">
        <v>101</v>
      </c>
      <c r="B48" s="22" t="s">
        <v>79</v>
      </c>
      <c r="C48" s="53" t="s">
        <v>80</v>
      </c>
      <c r="D48" s="8">
        <f>((1.1*340005.6)*1.03)*1.09</f>
        <v>419896.71583200007</v>
      </c>
      <c r="E48" s="8">
        <f>((1.1*340005.6)*1.03)*1.09</f>
        <v>419896.71583200007</v>
      </c>
      <c r="F48" s="7">
        <f t="shared" si="0"/>
        <v>1.2609965399113483</v>
      </c>
    </row>
    <row r="49" spans="1:6">
      <c r="A49" s="5" t="s">
        <v>102</v>
      </c>
      <c r="B49" s="22" t="s">
        <v>81</v>
      </c>
      <c r="C49" s="53" t="s">
        <v>82</v>
      </c>
      <c r="D49" s="8">
        <f>((1.1*25468.41)*1.03)*1.09</f>
        <v>31452.722297700006</v>
      </c>
      <c r="E49" s="8">
        <f>((1.1*25468.41)*1.03)*1.09</f>
        <v>31452.722297700006</v>
      </c>
      <c r="F49" s="7">
        <f t="shared" si="0"/>
        <v>9.4456023333273284E-2</v>
      </c>
    </row>
    <row r="50" spans="1:6" ht="25.5">
      <c r="A50" s="5" t="s">
        <v>103</v>
      </c>
      <c r="B50" s="22" t="s">
        <v>83</v>
      </c>
      <c r="C50" s="53" t="s">
        <v>84</v>
      </c>
      <c r="D50" s="8">
        <v>1085859.1050154215</v>
      </c>
      <c r="E50" s="8">
        <v>1085859.1050154215</v>
      </c>
      <c r="F50" s="7">
        <f t="shared" si="0"/>
        <v>3.2609556651153242</v>
      </c>
    </row>
    <row r="51" spans="1:6" ht="25.5">
      <c r="A51" s="5" t="s">
        <v>104</v>
      </c>
      <c r="B51" s="22" t="s">
        <v>112</v>
      </c>
      <c r="C51" s="53" t="s">
        <v>85</v>
      </c>
      <c r="D51" s="8">
        <f>(5482*12*1.18)*1.09</f>
        <v>84611.380799999999</v>
      </c>
      <c r="E51" s="8">
        <f>(5482*12*1.18)*1.09</f>
        <v>84611.380799999999</v>
      </c>
      <c r="F51" s="7">
        <f t="shared" si="0"/>
        <v>0.25409738729323578</v>
      </c>
    </row>
    <row r="52" spans="1:6" ht="25.5">
      <c r="A52" s="5" t="s">
        <v>105</v>
      </c>
      <c r="B52" s="22" t="s">
        <v>125</v>
      </c>
      <c r="C52" s="53" t="s">
        <v>85</v>
      </c>
      <c r="D52" s="8">
        <f>(3743*12*1.18)*1.09</f>
        <v>57770.959200000005</v>
      </c>
      <c r="E52" s="8">
        <f>(3743*12*1.18)*1.09</f>
        <v>57770.959200000005</v>
      </c>
      <c r="F52" s="7">
        <f t="shared" si="0"/>
        <v>0.17349261595012436</v>
      </c>
    </row>
    <row r="53" spans="1:6" ht="25.5">
      <c r="A53" s="5" t="s">
        <v>106</v>
      </c>
      <c r="B53" s="22" t="s">
        <v>118</v>
      </c>
      <c r="C53" s="54" t="s">
        <v>84</v>
      </c>
      <c r="D53" s="8">
        <f>957563.156/1.18*1.09</f>
        <v>884528.67799999996</v>
      </c>
      <c r="E53" s="8">
        <f>957563.156/1.18*1.09</f>
        <v>884528.67799999996</v>
      </c>
      <c r="F53" s="7">
        <f t="shared" si="0"/>
        <v>2.6563380001681742</v>
      </c>
    </row>
    <row r="54" spans="1:6" ht="25.5">
      <c r="A54" s="23"/>
      <c r="B54" s="24" t="s">
        <v>86</v>
      </c>
      <c r="C54" s="32"/>
      <c r="D54" s="25">
        <f>D14+D16+D17+D18+D27+D46+D47+D48+D49+D50+D51+D52+D53</f>
        <v>8165778.935291321</v>
      </c>
      <c r="E54" s="25">
        <f>E14+E16+E17+E18+E27+E46+E47+E48+E49+E50+E51+E52+E53</f>
        <v>9297172.7517001238</v>
      </c>
      <c r="F54" s="25">
        <f t="shared" si="0"/>
        <v>27.920443834913343</v>
      </c>
    </row>
    <row r="55" spans="1:6" ht="126" customHeight="1">
      <c r="A55" s="9" t="s">
        <v>106</v>
      </c>
      <c r="B55" s="61" t="s">
        <v>122</v>
      </c>
      <c r="C55" s="44" t="s">
        <v>126</v>
      </c>
      <c r="D55" s="25">
        <f>D54*20%</f>
        <v>1633155.7870582642</v>
      </c>
      <c r="E55" s="25">
        <f>E54*20%</f>
        <v>1859434.5503400248</v>
      </c>
      <c r="F55" s="25">
        <f t="shared" si="0"/>
        <v>5.584088766982668</v>
      </c>
    </row>
    <row r="56" spans="1:6" ht="15" customHeight="1">
      <c r="A56" s="87" t="s">
        <v>107</v>
      </c>
      <c r="B56" s="88"/>
      <c r="C56" s="88"/>
      <c r="D56" s="88"/>
      <c r="E56" s="88"/>
      <c r="F56" s="89"/>
    </row>
    <row r="57" spans="1:6" ht="25.5">
      <c r="A57" s="26" t="s">
        <v>94</v>
      </c>
      <c r="B57" s="24" t="s">
        <v>108</v>
      </c>
      <c r="C57" s="27"/>
      <c r="D57" s="8">
        <f>E57*12*B7</f>
        <v>0</v>
      </c>
      <c r="E57" s="8">
        <f>F57*12*C7</f>
        <v>166494</v>
      </c>
      <c r="F57" s="7">
        <v>0.5</v>
      </c>
    </row>
    <row r="58" spans="1:6">
      <c r="B58" s="28"/>
      <c r="C58" s="28"/>
    </row>
    <row r="59" spans="1:6" ht="15.75">
      <c r="B59" s="28"/>
      <c r="C59" s="59" t="s">
        <v>119</v>
      </c>
      <c r="D59" s="59" t="s">
        <v>120</v>
      </c>
      <c r="E59" s="59" t="s">
        <v>120</v>
      </c>
      <c r="F59" s="60" t="s">
        <v>121</v>
      </c>
    </row>
    <row r="60" spans="1:6">
      <c r="B60" s="28"/>
      <c r="C60" s="98">
        <f>F54+F55</f>
        <v>33.50453260189601</v>
      </c>
      <c r="D60" s="100">
        <f>24.07+2.99</f>
        <v>27.060000000000002</v>
      </c>
      <c r="E60" s="100">
        <f>24.07+2.99</f>
        <v>27.060000000000002</v>
      </c>
      <c r="F60" s="101">
        <f>C60/E60-100%</f>
        <v>0.23815715454161146</v>
      </c>
    </row>
    <row r="61" spans="1:6">
      <c r="B61" s="28"/>
      <c r="C61" s="99"/>
      <c r="D61" s="100"/>
      <c r="E61" s="100"/>
      <c r="F61" s="102"/>
    </row>
    <row r="62" spans="1:6">
      <c r="B62" s="28"/>
      <c r="C62" s="28"/>
    </row>
    <row r="63" spans="1:6">
      <c r="B63" s="28"/>
      <c r="C63" s="28"/>
    </row>
    <row r="64" spans="1:6">
      <c r="B64" s="31" t="s">
        <v>87</v>
      </c>
      <c r="C64" s="28"/>
      <c r="D64" s="29" t="s">
        <v>88</v>
      </c>
      <c r="F64" s="29" t="s">
        <v>88</v>
      </c>
    </row>
    <row r="65" spans="1:15">
      <c r="B65" s="28"/>
      <c r="C65" s="28"/>
      <c r="F65" s="29"/>
    </row>
    <row r="66" spans="1:15">
      <c r="B66" s="31" t="s">
        <v>89</v>
      </c>
      <c r="C66" s="28"/>
      <c r="D66" s="29" t="s">
        <v>109</v>
      </c>
      <c r="F66" s="29" t="s">
        <v>109</v>
      </c>
    </row>
    <row r="67" spans="1:15">
      <c r="B67" s="28"/>
      <c r="C67" s="28"/>
    </row>
    <row r="68" spans="1:15" s="50" customFormat="1" ht="99.75" customHeight="1">
      <c r="A68" s="90" t="s">
        <v>113</v>
      </c>
      <c r="B68" s="90"/>
      <c r="C68" s="90"/>
      <c r="D68" s="90"/>
      <c r="E68" s="90"/>
      <c r="F68" s="90"/>
      <c r="G68" s="81"/>
      <c r="H68" s="48"/>
      <c r="I68" s="48"/>
      <c r="J68" s="48"/>
      <c r="K68" s="48"/>
      <c r="L68" s="49"/>
      <c r="M68" s="49"/>
      <c r="N68" s="49"/>
      <c r="O68" s="49"/>
    </row>
    <row r="69" spans="1:15">
      <c r="B69" s="28"/>
      <c r="C69" s="28"/>
    </row>
    <row r="70" spans="1:15">
      <c r="B70" s="28"/>
      <c r="C70" s="28"/>
    </row>
    <row r="71" spans="1:15">
      <c r="B71" s="28"/>
      <c r="C71" s="28"/>
    </row>
    <row r="72" spans="1:15">
      <c r="B72" s="28"/>
      <c r="C72" s="28"/>
    </row>
    <row r="73" spans="1:15">
      <c r="B73" s="28"/>
      <c r="C73" s="28"/>
    </row>
    <row r="74" spans="1:15">
      <c r="B74" s="28"/>
      <c r="C74" s="28"/>
    </row>
    <row r="75" spans="1:15">
      <c r="B75" s="28"/>
      <c r="C75" s="28"/>
    </row>
    <row r="76" spans="1:15">
      <c r="B76" s="28"/>
      <c r="C76" s="28"/>
    </row>
    <row r="77" spans="1:15">
      <c r="B77" s="28"/>
      <c r="C77" s="28"/>
    </row>
    <row r="78" spans="1:15">
      <c r="B78" s="28"/>
      <c r="C78" s="28"/>
    </row>
    <row r="79" spans="1:15">
      <c r="B79" s="28"/>
      <c r="C79" s="28"/>
    </row>
    <row r="80" spans="1:15">
      <c r="B80" s="28"/>
      <c r="C80" s="28"/>
    </row>
    <row r="81" spans="2:3">
      <c r="B81" s="28"/>
      <c r="C81" s="28"/>
    </row>
    <row r="82" spans="2:3">
      <c r="B82" s="28"/>
      <c r="C82" s="28"/>
    </row>
    <row r="83" spans="2:3">
      <c r="B83" s="28"/>
      <c r="C83" s="28"/>
    </row>
    <row r="84" spans="2:3">
      <c r="B84" s="28"/>
      <c r="C84" s="28"/>
    </row>
    <row r="85" spans="2:3">
      <c r="B85" s="28"/>
      <c r="C85" s="28"/>
    </row>
    <row r="86" spans="2:3">
      <c r="B86" s="28"/>
      <c r="C86" s="28"/>
    </row>
    <row r="87" spans="2:3">
      <c r="B87" s="28"/>
      <c r="C87" s="28"/>
    </row>
    <row r="88" spans="2:3">
      <c r="B88" s="28"/>
      <c r="C88" s="28"/>
    </row>
    <row r="89" spans="2:3">
      <c r="B89" s="28"/>
      <c r="C89" s="28"/>
    </row>
    <row r="90" spans="2:3">
      <c r="B90" s="28"/>
      <c r="C90" s="28"/>
    </row>
    <row r="91" spans="2:3">
      <c r="B91" s="28"/>
      <c r="C91" s="28"/>
    </row>
    <row r="92" spans="2:3">
      <c r="B92" s="28"/>
      <c r="C92" s="28"/>
    </row>
    <row r="93" spans="2:3">
      <c r="B93" s="28"/>
      <c r="C93" s="28"/>
    </row>
    <row r="94" spans="2:3">
      <c r="B94" s="28"/>
      <c r="C94" s="28"/>
    </row>
    <row r="95" spans="2:3">
      <c r="B95" s="28"/>
      <c r="C95" s="28"/>
    </row>
    <row r="96" spans="2:3">
      <c r="B96" s="28"/>
      <c r="C96" s="28"/>
    </row>
    <row r="97" spans="2:3">
      <c r="B97" s="28"/>
      <c r="C97" s="28"/>
    </row>
    <row r="98" spans="2:3">
      <c r="B98" s="28"/>
      <c r="C98" s="28"/>
    </row>
    <row r="99" spans="2:3">
      <c r="B99" s="28"/>
      <c r="C99" s="28"/>
    </row>
    <row r="100" spans="2:3">
      <c r="B100" s="28"/>
      <c r="C100" s="28"/>
    </row>
    <row r="101" spans="2:3">
      <c r="B101" s="28"/>
      <c r="C101" s="28"/>
    </row>
    <row r="102" spans="2:3">
      <c r="B102" s="28"/>
      <c r="C102" s="28"/>
    </row>
    <row r="103" spans="2:3">
      <c r="B103" s="28"/>
      <c r="C103" s="28"/>
    </row>
    <row r="104" spans="2:3">
      <c r="B104" s="28"/>
      <c r="C104" s="28"/>
    </row>
  </sheetData>
  <mergeCells count="25">
    <mergeCell ref="A6:B6"/>
    <mergeCell ref="C6:F6"/>
    <mergeCell ref="C1:F1"/>
    <mergeCell ref="C2:F2"/>
    <mergeCell ref="A4:F4"/>
    <mergeCell ref="A5:B5"/>
    <mergeCell ref="C5:F5"/>
    <mergeCell ref="A13:F13"/>
    <mergeCell ref="A7:B7"/>
    <mergeCell ref="C7:F7"/>
    <mergeCell ref="A8:B8"/>
    <mergeCell ref="C8:F8"/>
    <mergeCell ref="A9:B9"/>
    <mergeCell ref="C9:F9"/>
    <mergeCell ref="A10:B10"/>
    <mergeCell ref="C10:F10"/>
    <mergeCell ref="A11:B11"/>
    <mergeCell ref="C11:F11"/>
    <mergeCell ref="A12:B12"/>
    <mergeCell ref="A56:F56"/>
    <mergeCell ref="C60:C61"/>
    <mergeCell ref="E60:E61"/>
    <mergeCell ref="F60:F61"/>
    <mergeCell ref="A68:F68"/>
    <mergeCell ref="D60:D61"/>
  </mergeCells>
  <pageMargins left="0.55118110236220474" right="0.35433070866141736" top="0.55118110236220474" bottom="0.35433070866141736" header="0.15748031496062992" footer="0.15748031496062992"/>
  <pageSetup scale="75" orientation="portrait" r:id="rId1"/>
  <rowBreaks count="1" manualBreakCount="1">
    <brk id="3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49"/>
  <sheetViews>
    <sheetView view="pageBreakPreview" zoomScale="85" zoomScaleNormal="100" zoomScaleSheetLayoutView="85" workbookViewId="0">
      <selection activeCell="A3" sqref="A3:M3"/>
    </sheetView>
  </sheetViews>
  <sheetFormatPr defaultRowHeight="15"/>
  <cols>
    <col min="12" max="12" width="10" bestFit="1" customWidth="1"/>
    <col min="16" max="16" width="9.140625" customWidth="1"/>
  </cols>
  <sheetData>
    <row r="1" spans="1:14" ht="18.75">
      <c r="F1" s="114" t="s">
        <v>196</v>
      </c>
      <c r="G1" s="114"/>
      <c r="H1" s="114"/>
      <c r="I1" s="114"/>
      <c r="J1" s="114"/>
      <c r="K1" s="114"/>
      <c r="L1" s="114"/>
      <c r="M1" s="114"/>
    </row>
    <row r="2" spans="1:14" s="63" customFormat="1" ht="11.25">
      <c r="A2" s="167" t="s">
        <v>142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69"/>
    </row>
    <row r="3" spans="1:14" s="63" customFormat="1" ht="23.25" customHeight="1">
      <c r="A3" s="168" t="s">
        <v>143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64"/>
    </row>
    <row r="4" spans="1:14" s="63" customFormat="1" ht="12.75">
      <c r="A4" s="158" t="s">
        <v>144</v>
      </c>
      <c r="B4" s="158"/>
      <c r="C4" s="158"/>
      <c r="D4" s="158"/>
      <c r="E4" s="158"/>
      <c r="F4" s="158"/>
      <c r="G4" s="70">
        <v>3450.9</v>
      </c>
      <c r="H4" s="71" t="s">
        <v>145</v>
      </c>
      <c r="I4" s="72"/>
    </row>
    <row r="5" spans="1:14" s="63" customFormat="1" ht="11.25">
      <c r="A5" s="141" t="s">
        <v>146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62"/>
    </row>
    <row r="6" spans="1:14" s="63" customFormat="1" ht="15" customHeight="1">
      <c r="B6" s="159" t="s">
        <v>147</v>
      </c>
      <c r="C6" s="159"/>
      <c r="D6" s="159" t="s">
        <v>148</v>
      </c>
      <c r="E6" s="152"/>
      <c r="F6" s="160" t="s">
        <v>149</v>
      </c>
      <c r="G6" s="160"/>
      <c r="H6" s="159" t="s">
        <v>150</v>
      </c>
      <c r="I6" s="152"/>
      <c r="J6" s="161" t="s">
        <v>151</v>
      </c>
      <c r="K6" s="162"/>
    </row>
    <row r="7" spans="1:14" s="63" customFormat="1" ht="15" customHeight="1">
      <c r="B7" s="159"/>
      <c r="C7" s="159"/>
      <c r="D7" s="152"/>
      <c r="E7" s="152"/>
      <c r="F7" s="160"/>
      <c r="G7" s="160"/>
      <c r="H7" s="152"/>
      <c r="I7" s="152"/>
      <c r="J7" s="163"/>
      <c r="K7" s="164"/>
    </row>
    <row r="8" spans="1:14" s="63" customFormat="1" ht="11.25">
      <c r="B8" s="159"/>
      <c r="C8" s="159"/>
      <c r="D8" s="152"/>
      <c r="E8" s="152"/>
      <c r="F8" s="160"/>
      <c r="G8" s="160"/>
      <c r="H8" s="152"/>
      <c r="I8" s="152"/>
      <c r="J8" s="165"/>
      <c r="K8" s="166"/>
    </row>
    <row r="9" spans="1:14" s="63" customFormat="1" ht="11.25">
      <c r="B9" s="152" t="s">
        <v>152</v>
      </c>
      <c r="C9" s="152"/>
      <c r="D9" s="152" t="s">
        <v>153</v>
      </c>
      <c r="E9" s="152"/>
      <c r="F9" s="152">
        <v>950</v>
      </c>
      <c r="G9" s="152"/>
      <c r="H9" s="156"/>
      <c r="I9" s="156"/>
      <c r="J9" s="143">
        <f>H9/F9</f>
        <v>0</v>
      </c>
      <c r="K9" s="144"/>
    </row>
    <row r="10" spans="1:14" s="63" customFormat="1" ht="11.25">
      <c r="B10" s="152" t="s">
        <v>154</v>
      </c>
      <c r="C10" s="152"/>
      <c r="D10" s="153" t="s">
        <v>155</v>
      </c>
      <c r="E10" s="154"/>
      <c r="F10" s="152">
        <v>1050</v>
      </c>
      <c r="G10" s="152"/>
      <c r="H10" s="155"/>
      <c r="I10" s="156"/>
      <c r="J10" s="143">
        <f>H10/F10</f>
        <v>0</v>
      </c>
      <c r="K10" s="144"/>
    </row>
    <row r="11" spans="1:14" s="63" customFormat="1" ht="11.25">
      <c r="B11" s="152" t="s">
        <v>156</v>
      </c>
      <c r="C11" s="152"/>
      <c r="D11" s="153" t="s">
        <v>155</v>
      </c>
      <c r="E11" s="154"/>
      <c r="F11" s="152">
        <v>1180</v>
      </c>
      <c r="G11" s="152"/>
      <c r="H11" s="155">
        <v>7576.1</v>
      </c>
      <c r="I11" s="156"/>
      <c r="J11" s="143">
        <f>H11/F11</f>
        <v>6.4204237288135593</v>
      </c>
      <c r="K11" s="144"/>
    </row>
    <row r="12" spans="1:14" s="63" customFormat="1" ht="11.25">
      <c r="B12" s="152" t="s">
        <v>152</v>
      </c>
      <c r="C12" s="152"/>
      <c r="D12" s="153" t="s">
        <v>155</v>
      </c>
      <c r="E12" s="154"/>
      <c r="F12" s="152">
        <v>820</v>
      </c>
      <c r="G12" s="152"/>
      <c r="H12" s="157"/>
      <c r="I12" s="157"/>
      <c r="J12" s="143">
        <f t="shared" ref="J12" si="0">H12/F12</f>
        <v>0</v>
      </c>
      <c r="K12" s="144"/>
    </row>
    <row r="13" spans="1:14" s="63" customFormat="1" ht="11.25">
      <c r="B13" s="148" t="s">
        <v>157</v>
      </c>
      <c r="C13" s="149"/>
      <c r="D13" s="149"/>
      <c r="E13" s="149"/>
      <c r="F13" s="149"/>
      <c r="G13" s="149"/>
      <c r="H13" s="149"/>
      <c r="I13" s="150"/>
      <c r="J13" s="139">
        <f>SUM(J9:K12)</f>
        <v>6.4204237288135593</v>
      </c>
      <c r="K13" s="140"/>
    </row>
    <row r="14" spans="1:14" s="63" customFormat="1" ht="11.25">
      <c r="B14" s="151" t="s">
        <v>158</v>
      </c>
      <c r="C14" s="151"/>
      <c r="D14" s="151"/>
      <c r="E14" s="151"/>
      <c r="F14" s="151"/>
      <c r="G14" s="151"/>
      <c r="H14" s="151"/>
      <c r="I14" s="151"/>
      <c r="J14" s="139">
        <f>J13</f>
        <v>6.4204237288135593</v>
      </c>
      <c r="K14" s="140"/>
    </row>
    <row r="15" spans="1:14" s="63" customFormat="1" ht="11.25">
      <c r="B15" s="151" t="s">
        <v>128</v>
      </c>
      <c r="C15" s="151"/>
      <c r="D15" s="151"/>
      <c r="E15" s="151"/>
      <c r="F15" s="151"/>
      <c r="G15" s="151"/>
      <c r="H15" s="151"/>
      <c r="I15" s="151"/>
      <c r="J15" s="139">
        <f>J14*1.12</f>
        <v>7.1908745762711872</v>
      </c>
      <c r="K15" s="140"/>
    </row>
    <row r="16" spans="1:14" s="63" customFormat="1" ht="11.25">
      <c r="B16" s="146" t="s">
        <v>159</v>
      </c>
      <c r="C16" s="146"/>
      <c r="D16" s="146"/>
      <c r="E16" s="146"/>
      <c r="F16" s="146"/>
      <c r="G16" s="146"/>
      <c r="H16" s="146"/>
      <c r="I16" s="146"/>
      <c r="J16" s="143">
        <v>9520</v>
      </c>
      <c r="K16" s="144"/>
    </row>
    <row r="17" spans="1:14" s="63" customFormat="1" ht="11.25">
      <c r="B17" s="147" t="s">
        <v>129</v>
      </c>
      <c r="C17" s="147"/>
      <c r="D17" s="147"/>
      <c r="E17" s="147"/>
      <c r="F17" s="147"/>
      <c r="G17" s="147"/>
      <c r="H17" s="147"/>
      <c r="I17" s="147"/>
      <c r="J17" s="143">
        <f>J16*J15</f>
        <v>68457.125966101696</v>
      </c>
      <c r="K17" s="144"/>
    </row>
    <row r="18" spans="1:14" s="63" customFormat="1" ht="15" customHeight="1">
      <c r="B18" s="145" t="s">
        <v>160</v>
      </c>
      <c r="C18" s="145"/>
      <c r="D18" s="145"/>
      <c r="E18" s="145"/>
      <c r="F18" s="145"/>
      <c r="G18" s="145"/>
      <c r="H18" s="145"/>
      <c r="I18" s="145"/>
      <c r="J18" s="143">
        <f>J17*25%</f>
        <v>17114.281491525424</v>
      </c>
      <c r="K18" s="144"/>
    </row>
    <row r="19" spans="1:14" s="63" customFormat="1" ht="11.25">
      <c r="B19" s="142" t="s">
        <v>161</v>
      </c>
      <c r="C19" s="142"/>
      <c r="D19" s="142"/>
      <c r="E19" s="142"/>
      <c r="F19" s="142"/>
      <c r="G19" s="142"/>
      <c r="H19" s="142"/>
      <c r="I19" s="142"/>
      <c r="J19" s="143">
        <f>J17+J18</f>
        <v>85571.407457627123</v>
      </c>
      <c r="K19" s="144"/>
    </row>
    <row r="20" spans="1:14" s="63" customFormat="1" ht="15" customHeight="1">
      <c r="B20" s="142" t="s">
        <v>130</v>
      </c>
      <c r="C20" s="142"/>
      <c r="D20" s="142"/>
      <c r="E20" s="142"/>
      <c r="F20" s="142"/>
      <c r="G20" s="142"/>
      <c r="H20" s="142"/>
      <c r="I20" s="142"/>
      <c r="J20" s="143">
        <f>J19*25%</f>
        <v>21392.851864406781</v>
      </c>
      <c r="K20" s="144"/>
    </row>
    <row r="21" spans="1:14" s="63" customFormat="1" ht="15" customHeight="1">
      <c r="B21" s="145" t="s">
        <v>131</v>
      </c>
      <c r="C21" s="145"/>
      <c r="D21" s="145"/>
      <c r="E21" s="145"/>
      <c r="F21" s="145"/>
      <c r="G21" s="145"/>
      <c r="H21" s="145"/>
      <c r="I21" s="145"/>
      <c r="J21" s="143">
        <f>J19+J20</f>
        <v>106964.2593220339</v>
      </c>
      <c r="K21" s="144"/>
    </row>
    <row r="22" spans="1:14" s="63" customFormat="1" ht="11.25">
      <c r="B22" s="138" t="s">
        <v>132</v>
      </c>
      <c r="C22" s="138"/>
      <c r="D22" s="138"/>
      <c r="E22" s="138"/>
      <c r="F22" s="138"/>
      <c r="G22" s="138"/>
      <c r="H22" s="138"/>
      <c r="I22" s="138"/>
      <c r="J22" s="139">
        <f>J21*12/1000</f>
        <v>1283.5711118644069</v>
      </c>
      <c r="K22" s="140"/>
    </row>
    <row r="23" spans="1:14" s="63" customFormat="1" ht="11.25">
      <c r="A23" s="65"/>
      <c r="B23" s="65"/>
      <c r="C23" s="65"/>
      <c r="D23" s="65"/>
      <c r="E23" s="65"/>
      <c r="F23" s="65"/>
      <c r="G23" s="65"/>
      <c r="H23" s="65"/>
      <c r="I23" s="65"/>
    </row>
    <row r="24" spans="1:14" s="63" customFormat="1" ht="11.25">
      <c r="A24" s="141" t="s">
        <v>162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62"/>
    </row>
    <row r="25" spans="1:14" s="63" customFormat="1" ht="24.75" customHeight="1">
      <c r="B25" s="134" t="s">
        <v>133</v>
      </c>
      <c r="C25" s="134"/>
      <c r="D25" s="134"/>
      <c r="E25" s="134"/>
      <c r="F25" s="134" t="s">
        <v>134</v>
      </c>
      <c r="G25" s="134"/>
      <c r="H25" s="66" t="s">
        <v>135</v>
      </c>
      <c r="I25" s="66" t="s">
        <v>136</v>
      </c>
      <c r="J25" s="66" t="s">
        <v>137</v>
      </c>
      <c r="K25" s="66" t="s">
        <v>138</v>
      </c>
      <c r="L25" s="66" t="s">
        <v>8</v>
      </c>
    </row>
    <row r="26" spans="1:14" s="63" customFormat="1" ht="11.25">
      <c r="B26" s="137" t="s">
        <v>140</v>
      </c>
      <c r="C26" s="137"/>
      <c r="D26" s="137"/>
      <c r="E26" s="137"/>
      <c r="F26" s="134" t="s">
        <v>163</v>
      </c>
      <c r="G26" s="134"/>
      <c r="H26" s="67">
        <v>1</v>
      </c>
      <c r="I26" s="67">
        <v>159.30000000000001</v>
      </c>
      <c r="J26" s="67">
        <f>H26*I26</f>
        <v>159.30000000000001</v>
      </c>
      <c r="K26" s="68">
        <f>$J$13</f>
        <v>6.4204237288135593</v>
      </c>
      <c r="L26" s="73">
        <f>J26*K26</f>
        <v>1022.7735</v>
      </c>
    </row>
    <row r="27" spans="1:14" s="63" customFormat="1" ht="11.25">
      <c r="B27" s="137" t="s">
        <v>164</v>
      </c>
      <c r="C27" s="137"/>
      <c r="D27" s="137"/>
      <c r="E27" s="137"/>
      <c r="F27" s="134" t="s">
        <v>165</v>
      </c>
      <c r="G27" s="134"/>
      <c r="H27" s="67">
        <v>12</v>
      </c>
      <c r="I27" s="67">
        <v>108</v>
      </c>
      <c r="J27" s="67">
        <f>H27*I27</f>
        <v>1296</v>
      </c>
      <c r="K27" s="68">
        <f t="shared" ref="K27:K29" si="1">$J$13</f>
        <v>6.4204237288135593</v>
      </c>
      <c r="L27" s="73">
        <f>J27*K27</f>
        <v>8320.8691525423728</v>
      </c>
    </row>
    <row r="28" spans="1:14" s="63" customFormat="1" ht="11.25">
      <c r="B28" s="137" t="s">
        <v>166</v>
      </c>
      <c r="C28" s="137"/>
      <c r="D28" s="137"/>
      <c r="E28" s="137"/>
      <c r="F28" s="134" t="s">
        <v>141</v>
      </c>
      <c r="G28" s="134"/>
      <c r="H28" s="67">
        <v>0.5</v>
      </c>
      <c r="I28" s="67">
        <v>39</v>
      </c>
      <c r="J28" s="67">
        <f t="shared" ref="J28:J36" si="2">H28*I28</f>
        <v>19.5</v>
      </c>
      <c r="K28" s="68">
        <f t="shared" si="1"/>
        <v>6.4204237288135593</v>
      </c>
      <c r="L28" s="73">
        <f>J28*K28</f>
        <v>125.1982627118644</v>
      </c>
    </row>
    <row r="29" spans="1:14" s="63" customFormat="1" ht="11.25">
      <c r="B29" s="137" t="s">
        <v>167</v>
      </c>
      <c r="C29" s="137"/>
      <c r="D29" s="137"/>
      <c r="E29" s="137"/>
      <c r="F29" s="134" t="s">
        <v>139</v>
      </c>
      <c r="G29" s="134"/>
      <c r="H29" s="67">
        <v>1</v>
      </c>
      <c r="I29" s="67">
        <v>79</v>
      </c>
      <c r="J29" s="67">
        <f t="shared" si="2"/>
        <v>79</v>
      </c>
      <c r="K29" s="68">
        <f t="shared" si="1"/>
        <v>6.4204237288135593</v>
      </c>
      <c r="L29" s="73">
        <f>J29*K29</f>
        <v>507.21347457627121</v>
      </c>
    </row>
    <row r="30" spans="1:14" s="63" customFormat="1" ht="36" customHeight="1">
      <c r="B30" s="133" t="s">
        <v>168</v>
      </c>
      <c r="C30" s="133"/>
      <c r="D30" s="133"/>
      <c r="E30" s="133"/>
      <c r="F30" s="134" t="s">
        <v>169</v>
      </c>
      <c r="G30" s="134"/>
      <c r="H30" s="67">
        <f>0.4/100</f>
        <v>4.0000000000000001E-3</v>
      </c>
      <c r="I30" s="67">
        <v>83</v>
      </c>
      <c r="J30" s="67">
        <f>H30*I30</f>
        <v>0.33200000000000002</v>
      </c>
      <c r="K30" s="68">
        <f>G4</f>
        <v>3450.9</v>
      </c>
      <c r="L30" s="73">
        <f t="shared" ref="L30:L36" si="3">J30*K30</f>
        <v>1145.6988000000001</v>
      </c>
    </row>
    <row r="31" spans="1:14" s="63" customFormat="1" ht="11.25">
      <c r="B31" s="133" t="s">
        <v>170</v>
      </c>
      <c r="C31" s="133"/>
      <c r="D31" s="133"/>
      <c r="E31" s="133"/>
      <c r="F31" s="134" t="s">
        <v>171</v>
      </c>
      <c r="G31" s="134"/>
      <c r="H31" s="67">
        <f>1.35/100</f>
        <v>1.3500000000000002E-2</v>
      </c>
      <c r="I31" s="67">
        <v>24</v>
      </c>
      <c r="J31" s="67">
        <f t="shared" si="2"/>
        <v>0.32400000000000007</v>
      </c>
      <c r="K31" s="68">
        <f>G4</f>
        <v>3450.9</v>
      </c>
      <c r="L31" s="73">
        <f t="shared" si="3"/>
        <v>1118.0916000000002</v>
      </c>
    </row>
    <row r="32" spans="1:14" s="63" customFormat="1" ht="15" customHeight="1">
      <c r="B32" s="133" t="s">
        <v>172</v>
      </c>
      <c r="C32" s="133"/>
      <c r="D32" s="133"/>
      <c r="E32" s="133"/>
      <c r="F32" s="134" t="s">
        <v>173</v>
      </c>
      <c r="G32" s="134"/>
      <c r="H32" s="67">
        <f>0.3/100</f>
        <v>3.0000000000000001E-3</v>
      </c>
      <c r="I32" s="67">
        <v>31</v>
      </c>
      <c r="J32" s="67">
        <f t="shared" si="2"/>
        <v>9.2999999999999999E-2</v>
      </c>
      <c r="K32" s="68">
        <f>G4</f>
        <v>3450.9</v>
      </c>
      <c r="L32" s="73">
        <f t="shared" si="3"/>
        <v>320.93369999999999</v>
      </c>
    </row>
    <row r="33" spans="1:14" s="63" customFormat="1" ht="41.25" customHeight="1">
      <c r="B33" s="133" t="s">
        <v>174</v>
      </c>
      <c r="C33" s="133"/>
      <c r="D33" s="133"/>
      <c r="E33" s="133"/>
      <c r="F33" s="134" t="s">
        <v>175</v>
      </c>
      <c r="G33" s="134"/>
      <c r="H33" s="67">
        <f>0.5/100</f>
        <v>5.0000000000000001E-3</v>
      </c>
      <c r="I33" s="67">
        <v>31</v>
      </c>
      <c r="J33" s="67">
        <f t="shared" si="2"/>
        <v>0.155</v>
      </c>
      <c r="K33" s="68">
        <f>G4</f>
        <v>3450.9</v>
      </c>
      <c r="L33" s="73">
        <f t="shared" si="3"/>
        <v>534.8895</v>
      </c>
    </row>
    <row r="34" spans="1:14" s="63" customFormat="1" ht="11.25">
      <c r="B34" s="133" t="s">
        <v>176</v>
      </c>
      <c r="C34" s="133"/>
      <c r="D34" s="133"/>
      <c r="E34" s="133"/>
      <c r="F34" s="134" t="s">
        <v>177</v>
      </c>
      <c r="G34" s="134"/>
      <c r="H34" s="67">
        <f>0.039</f>
        <v>3.9E-2</v>
      </c>
      <c r="I34" s="67">
        <v>23.7</v>
      </c>
      <c r="J34" s="67">
        <f t="shared" si="2"/>
        <v>0.92430000000000001</v>
      </c>
      <c r="K34" s="74">
        <f>J13</f>
        <v>6.4204237288135593</v>
      </c>
      <c r="L34" s="73">
        <f t="shared" si="3"/>
        <v>5.9343976525423727</v>
      </c>
    </row>
    <row r="35" spans="1:14" s="63" customFormat="1" ht="15" customHeight="1">
      <c r="B35" s="133" t="s">
        <v>178</v>
      </c>
      <c r="C35" s="133"/>
      <c r="D35" s="133"/>
      <c r="E35" s="133"/>
      <c r="F35" s="134" t="s">
        <v>179</v>
      </c>
      <c r="G35" s="134"/>
      <c r="H35" s="67">
        <f>2.75*12</f>
        <v>33</v>
      </c>
      <c r="I35" s="67">
        <v>10.199999999999999</v>
      </c>
      <c r="J35" s="67">
        <f t="shared" si="2"/>
        <v>336.59999999999997</v>
      </c>
      <c r="K35" s="74">
        <f>J13</f>
        <v>6.4204237288135593</v>
      </c>
      <c r="L35" s="73">
        <f t="shared" si="3"/>
        <v>2161.114627118644</v>
      </c>
    </row>
    <row r="36" spans="1:14" s="63" customFormat="1" ht="11.25">
      <c r="B36" s="133" t="s">
        <v>180</v>
      </c>
      <c r="C36" s="133"/>
      <c r="D36" s="133"/>
      <c r="E36" s="133"/>
      <c r="F36" s="134" t="s">
        <v>139</v>
      </c>
      <c r="G36" s="134"/>
      <c r="H36" s="67">
        <v>1</v>
      </c>
      <c r="I36" s="67">
        <v>31.4</v>
      </c>
      <c r="J36" s="67">
        <f t="shared" si="2"/>
        <v>31.4</v>
      </c>
      <c r="K36" s="74">
        <f>J14</f>
        <v>6.4204237288135593</v>
      </c>
      <c r="L36" s="73">
        <f t="shared" si="3"/>
        <v>201.60130508474575</v>
      </c>
    </row>
    <row r="37" spans="1:14" s="63" customFormat="1" ht="11.25">
      <c r="B37" s="135" t="s">
        <v>181</v>
      </c>
      <c r="C37" s="135"/>
      <c r="D37" s="135"/>
      <c r="E37" s="135"/>
      <c r="F37" s="135"/>
      <c r="G37" s="135"/>
      <c r="H37" s="135"/>
      <c r="I37" s="135"/>
      <c r="J37" s="135"/>
      <c r="K37" s="135"/>
      <c r="L37" s="73">
        <f>SUM(L26:L36)</f>
        <v>15464.318319686437</v>
      </c>
    </row>
    <row r="38" spans="1:14" s="63" customFormat="1" ht="11.25">
      <c r="B38" s="135" t="s">
        <v>182</v>
      </c>
      <c r="C38" s="135"/>
      <c r="D38" s="135"/>
      <c r="E38" s="135"/>
      <c r="F38" s="135"/>
      <c r="G38" s="135"/>
      <c r="H38" s="135"/>
      <c r="I38" s="135"/>
      <c r="J38" s="135"/>
      <c r="K38" s="135"/>
      <c r="L38" s="75">
        <f>L37/12</f>
        <v>1288.693193307203</v>
      </c>
    </row>
    <row r="39" spans="1:14" s="63" customFormat="1" ht="24" customHeight="1">
      <c r="A39" s="136" t="s">
        <v>183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76"/>
    </row>
    <row r="41" spans="1:14" ht="15.75" thickBot="1"/>
    <row r="42" spans="1:14" ht="34.5" customHeight="1">
      <c r="B42" s="77">
        <v>2</v>
      </c>
      <c r="C42" s="127" t="s">
        <v>184</v>
      </c>
      <c r="D42" s="128"/>
      <c r="E42" s="129"/>
      <c r="F42" s="130">
        <f>F48+F49</f>
        <v>158526.43240447756</v>
      </c>
      <c r="G42" s="131"/>
      <c r="H42" s="132"/>
      <c r="I42" s="118">
        <f>F42*12</f>
        <v>1902317.1888537307</v>
      </c>
      <c r="J42" s="119"/>
      <c r="K42" s="120"/>
    </row>
    <row r="43" spans="1:14" ht="15.75">
      <c r="B43" s="78"/>
      <c r="C43" s="115" t="s">
        <v>185</v>
      </c>
      <c r="D43" s="116"/>
      <c r="E43" s="117"/>
      <c r="F43" s="124">
        <f>J21</f>
        <v>106964.2593220339</v>
      </c>
      <c r="G43" s="125"/>
      <c r="H43" s="126"/>
      <c r="I43" s="118"/>
      <c r="J43" s="119"/>
      <c r="K43" s="120"/>
    </row>
    <row r="44" spans="1:14" ht="15.75">
      <c r="B44" s="78"/>
      <c r="C44" s="115" t="s">
        <v>186</v>
      </c>
      <c r="D44" s="116"/>
      <c r="E44" s="117"/>
      <c r="F44" s="118">
        <f>F43*30.2%</f>
        <v>32303.20631525424</v>
      </c>
      <c r="G44" s="119"/>
      <c r="H44" s="120"/>
      <c r="I44" s="118"/>
      <c r="J44" s="119"/>
      <c r="K44" s="120"/>
    </row>
    <row r="45" spans="1:14" ht="15.75">
      <c r="B45" s="78"/>
      <c r="C45" s="115" t="s">
        <v>187</v>
      </c>
      <c r="D45" s="116"/>
      <c r="E45" s="117"/>
      <c r="F45" s="124">
        <f>L38</f>
        <v>1288.693193307203</v>
      </c>
      <c r="G45" s="125"/>
      <c r="H45" s="126"/>
      <c r="I45" s="118"/>
      <c r="J45" s="119"/>
      <c r="K45" s="120"/>
    </row>
    <row r="46" spans="1:14" ht="15.75">
      <c r="B46" s="78"/>
      <c r="C46" s="115" t="s">
        <v>188</v>
      </c>
      <c r="D46" s="116"/>
      <c r="E46" s="117"/>
      <c r="F46" s="118">
        <f>SUM(F43:F45)*0.2%</f>
        <v>281.11231766119073</v>
      </c>
      <c r="G46" s="119"/>
      <c r="H46" s="120"/>
      <c r="I46" s="118"/>
      <c r="J46" s="119"/>
      <c r="K46" s="120"/>
    </row>
    <row r="47" spans="1:14" ht="41.25" customHeight="1">
      <c r="B47" s="78"/>
      <c r="C47" s="115" t="s">
        <v>189</v>
      </c>
      <c r="D47" s="116"/>
      <c r="E47" s="117"/>
      <c r="F47" s="118">
        <f>SUM(F43:F46)*7.2%</f>
        <v>10140.283522674472</v>
      </c>
      <c r="G47" s="119"/>
      <c r="H47" s="120"/>
      <c r="I47" s="118"/>
      <c r="J47" s="119"/>
      <c r="K47" s="120"/>
    </row>
    <row r="48" spans="1:14" ht="15.75">
      <c r="B48" s="78"/>
      <c r="C48" s="115" t="s">
        <v>190</v>
      </c>
      <c r="D48" s="116"/>
      <c r="E48" s="117"/>
      <c r="F48" s="118">
        <f>SUM(F43:H47)</f>
        <v>150977.55467093101</v>
      </c>
      <c r="G48" s="119"/>
      <c r="H48" s="120"/>
      <c r="I48" s="118"/>
      <c r="J48" s="119"/>
      <c r="K48" s="120"/>
    </row>
    <row r="49" spans="2:11" ht="16.5" thickBot="1">
      <c r="B49" s="79"/>
      <c r="C49" s="121" t="s">
        <v>191</v>
      </c>
      <c r="D49" s="122"/>
      <c r="E49" s="123"/>
      <c r="F49" s="118">
        <f>F48*5%</f>
        <v>7548.8777335465511</v>
      </c>
      <c r="G49" s="119"/>
      <c r="H49" s="120"/>
      <c r="I49" s="118"/>
      <c r="J49" s="119"/>
      <c r="K49" s="120"/>
    </row>
  </sheetData>
  <mergeCells count="102">
    <mergeCell ref="A4:F4"/>
    <mergeCell ref="A5:M5"/>
    <mergeCell ref="B6:C8"/>
    <mergeCell ref="D6:E8"/>
    <mergeCell ref="F6:G8"/>
    <mergeCell ref="H6:I8"/>
    <mergeCell ref="J6:K8"/>
    <mergeCell ref="A2:M2"/>
    <mergeCell ref="A3:M3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B16:I16"/>
    <mergeCell ref="J16:K16"/>
    <mergeCell ref="B17:I17"/>
    <mergeCell ref="J17:K17"/>
    <mergeCell ref="B18:I18"/>
    <mergeCell ref="J18:K18"/>
    <mergeCell ref="B13:I13"/>
    <mergeCell ref="J13:K13"/>
    <mergeCell ref="B14:I14"/>
    <mergeCell ref="J14:K14"/>
    <mergeCell ref="B15:I15"/>
    <mergeCell ref="J15:K15"/>
    <mergeCell ref="B22:I22"/>
    <mergeCell ref="J22:K22"/>
    <mergeCell ref="A24:M24"/>
    <mergeCell ref="B25:E25"/>
    <mergeCell ref="F25:G25"/>
    <mergeCell ref="B26:E26"/>
    <mergeCell ref="F26:G26"/>
    <mergeCell ref="B19:I19"/>
    <mergeCell ref="J19:K19"/>
    <mergeCell ref="B20:I20"/>
    <mergeCell ref="J20:K20"/>
    <mergeCell ref="B21:I21"/>
    <mergeCell ref="J21:K21"/>
    <mergeCell ref="B30:E30"/>
    <mergeCell ref="F30:G30"/>
    <mergeCell ref="B31:E31"/>
    <mergeCell ref="F31:G31"/>
    <mergeCell ref="B32:E32"/>
    <mergeCell ref="F32:G32"/>
    <mergeCell ref="B27:E27"/>
    <mergeCell ref="F27:G27"/>
    <mergeCell ref="B28:E28"/>
    <mergeCell ref="F28:G28"/>
    <mergeCell ref="B29:E29"/>
    <mergeCell ref="F29:G29"/>
    <mergeCell ref="I43:K43"/>
    <mergeCell ref="B36:E36"/>
    <mergeCell ref="F36:G36"/>
    <mergeCell ref="B37:K37"/>
    <mergeCell ref="B38:K38"/>
    <mergeCell ref="A39:M39"/>
    <mergeCell ref="B33:E33"/>
    <mergeCell ref="F33:G33"/>
    <mergeCell ref="B34:E34"/>
    <mergeCell ref="F34:G34"/>
    <mergeCell ref="B35:E35"/>
    <mergeCell ref="F35:G35"/>
    <mergeCell ref="F1:M1"/>
    <mergeCell ref="C48:E48"/>
    <mergeCell ref="F48:H48"/>
    <mergeCell ref="I48:K48"/>
    <mergeCell ref="C49:E49"/>
    <mergeCell ref="F49:H49"/>
    <mergeCell ref="I49:K49"/>
    <mergeCell ref="C46:E46"/>
    <mergeCell ref="F46:H46"/>
    <mergeCell ref="I46:K46"/>
    <mergeCell ref="C47:E47"/>
    <mergeCell ref="F47:H47"/>
    <mergeCell ref="I47:K47"/>
    <mergeCell ref="C44:E44"/>
    <mergeCell ref="F44:H44"/>
    <mergeCell ref="I44:K44"/>
    <mergeCell ref="C45:E45"/>
    <mergeCell ref="F45:H45"/>
    <mergeCell ref="I45:K45"/>
    <mergeCell ref="C42:E42"/>
    <mergeCell ref="F42:H42"/>
    <mergeCell ref="I42:K42"/>
    <mergeCell ref="C43:E43"/>
    <mergeCell ref="F43:H43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1.10+9%</vt:lpstr>
      <vt:lpstr>1.10+9% (л.кл)</vt:lpstr>
      <vt:lpstr>1.10 л.кл</vt:lpstr>
      <vt:lpstr>'1.10 л.кл'!Область_печати</vt:lpstr>
      <vt:lpstr>'1.10+9%'!Область_печати</vt:lpstr>
      <vt:lpstr>'1.10+9% (л.кл)'!Область_печати</vt:lpstr>
    </vt:vector>
  </TitlesOfParts>
  <Company>kzhak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buh-e</dc:creator>
  <cp:lastModifiedBy>buh-e</cp:lastModifiedBy>
  <cp:lastPrinted>2015-11-02T05:43:18Z</cp:lastPrinted>
  <dcterms:created xsi:type="dcterms:W3CDTF">2013-12-09T05:59:50Z</dcterms:created>
  <dcterms:modified xsi:type="dcterms:W3CDTF">2015-11-30T05:35:47Z</dcterms:modified>
</cp:coreProperties>
</file>