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78+5%" sheetId="1" r:id="rId1"/>
    <sheet name="энергосбер78" sheetId="2" r:id="rId2"/>
    <sheet name="78+9% (л.кл+двор)" sheetId="3" r:id="rId3"/>
    <sheet name="78+5% (л.кл+двор)" sheetId="4" r:id="rId4"/>
  </sheets>
  <definedNames>
    <definedName name="_xlnm.Print_Area" localSheetId="0">'78+5%'!$A$1:$E$70</definedName>
    <definedName name="_xlnm.Print_Area" localSheetId="3">'78+5% (л.кл+двор)'!$A$1:$E$71</definedName>
    <definedName name="_xlnm.Print_Area" localSheetId="2">'78+9% (л.кл+двор)'!$A$1:$E$71</definedName>
    <definedName name="_xlnm.Print_Area" localSheetId="1">энергосбер78!$A$1:$D$30</definedName>
  </definedNames>
  <calcPr calcId="125725"/>
</workbook>
</file>

<file path=xl/calcChain.xml><?xml version="1.0" encoding="utf-8"?>
<calcChain xmlns="http://schemas.openxmlformats.org/spreadsheetml/2006/main">
  <c r="H18" i="3"/>
  <c r="D40" i="4" l="1"/>
  <c r="D39"/>
  <c r="D38"/>
  <c r="D30"/>
  <c r="D29"/>
  <c r="D52"/>
  <c r="D53"/>
  <c r="D20"/>
  <c r="D19"/>
  <c r="D31"/>
  <c r="D47"/>
  <c r="D45"/>
  <c r="H64"/>
  <c r="H28"/>
  <c r="K28" s="1"/>
  <c r="H36"/>
  <c r="H37"/>
  <c r="K37" s="1"/>
  <c r="H48"/>
  <c r="K48" s="1"/>
  <c r="D48"/>
  <c r="D49"/>
  <c r="D50"/>
  <c r="D18" l="1"/>
  <c r="K29"/>
  <c r="K31" s="1"/>
  <c r="K30"/>
  <c r="K39"/>
  <c r="K38"/>
  <c r="K40"/>
  <c r="L40" s="1"/>
  <c r="K41"/>
  <c r="K50"/>
  <c r="K52"/>
  <c r="K51"/>
  <c r="L51" s="1"/>
  <c r="K49"/>
  <c r="K32" l="1"/>
  <c r="K33" s="1"/>
  <c r="K34" s="1"/>
  <c r="K27" s="1"/>
  <c r="L27" s="1"/>
  <c r="K42"/>
  <c r="K43" s="1"/>
  <c r="K44"/>
  <c r="K53"/>
  <c r="K54" s="1"/>
  <c r="K55" s="1"/>
  <c r="K56" s="1"/>
  <c r="K47" s="1"/>
  <c r="L47" s="1"/>
  <c r="D14" l="1"/>
  <c r="M27"/>
  <c r="M28" s="1"/>
  <c r="E60"/>
  <c r="C26" i="2"/>
  <c r="D61" i="4" s="1"/>
  <c r="E61" s="1"/>
  <c r="D55"/>
  <c r="D54"/>
  <c r="D51"/>
  <c r="D46"/>
  <c r="H18"/>
  <c r="H19" s="1"/>
  <c r="K19" s="1"/>
  <c r="D17"/>
  <c r="D16"/>
  <c r="D15"/>
  <c r="C7"/>
  <c r="E44" s="1"/>
  <c r="E61" i="3"/>
  <c r="D28" i="4" l="1"/>
  <c r="D37"/>
  <c r="E37" s="1"/>
  <c r="E16"/>
  <c r="D60"/>
  <c r="E15"/>
  <c r="E17"/>
  <c r="K21"/>
  <c r="K20"/>
  <c r="E18"/>
  <c r="E19"/>
  <c r="E28"/>
  <c r="E32"/>
  <c r="E33"/>
  <c r="E34"/>
  <c r="E35"/>
  <c r="E36"/>
  <c r="E39"/>
  <c r="E41"/>
  <c r="E43"/>
  <c r="E45"/>
  <c r="E46"/>
  <c r="E47"/>
  <c r="E48"/>
  <c r="E49"/>
  <c r="E50"/>
  <c r="E51"/>
  <c r="E52"/>
  <c r="E53"/>
  <c r="E54"/>
  <c r="E55"/>
  <c r="E14"/>
  <c r="E20"/>
  <c r="E21"/>
  <c r="E22"/>
  <c r="E23"/>
  <c r="E24"/>
  <c r="E25"/>
  <c r="E26"/>
  <c r="E29"/>
  <c r="E30"/>
  <c r="E31"/>
  <c r="E38"/>
  <c r="E40"/>
  <c r="E42"/>
  <c r="H27" i="3"/>
  <c r="H28"/>
  <c r="K28" s="1"/>
  <c r="H19"/>
  <c r="K19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D47"/>
  <c r="D46"/>
  <c r="D17"/>
  <c r="D16"/>
  <c r="D15"/>
  <c r="D14"/>
  <c r="D57" s="1"/>
  <c r="C7"/>
  <c r="E48" s="1"/>
  <c r="E24" i="2"/>
  <c r="C23"/>
  <c r="C22"/>
  <c r="C21"/>
  <c r="C20"/>
  <c r="C19"/>
  <c r="C18"/>
  <c r="C17"/>
  <c r="C45"/>
  <c r="B41"/>
  <c r="D44" s="1"/>
  <c r="B40"/>
  <c r="B37"/>
  <c r="C24"/>
  <c r="D27" i="4" l="1"/>
  <c r="K22"/>
  <c r="K20" i="3"/>
  <c r="K22" s="1"/>
  <c r="K21"/>
  <c r="K30"/>
  <c r="K32"/>
  <c r="K31"/>
  <c r="L31" s="1"/>
  <c r="K29"/>
  <c r="E57"/>
  <c r="D58"/>
  <c r="D6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C25" i="2"/>
  <c r="D43"/>
  <c r="M38" i="4" l="1"/>
  <c r="M39" s="1"/>
  <c r="D56"/>
  <c r="D57" s="1"/>
  <c r="E27"/>
  <c r="K45"/>
  <c r="K36" s="1"/>
  <c r="L36" s="1"/>
  <c r="K23"/>
  <c r="K24" s="1"/>
  <c r="K33" i="3"/>
  <c r="K34" s="1"/>
  <c r="K23"/>
  <c r="K24" s="1"/>
  <c r="E58"/>
  <c r="C64" s="1"/>
  <c r="E64" s="1"/>
  <c r="D59"/>
  <c r="E59" s="1"/>
  <c r="E56" i="4" l="1"/>
  <c r="E57"/>
  <c r="D58"/>
  <c r="E58" s="1"/>
  <c r="K25"/>
  <c r="K18" i="3"/>
  <c r="L18" s="1"/>
  <c r="K25"/>
  <c r="K35"/>
  <c r="C64" i="4" l="1"/>
  <c r="E64" s="1"/>
  <c r="K18"/>
  <c r="L18" s="1"/>
  <c r="K36" i="3"/>
  <c r="K27" s="1"/>
  <c r="L27" s="1"/>
</calcChain>
</file>

<file path=xl/sharedStrings.xml><?xml version="1.0" encoding="utf-8"?>
<sst xmlns="http://schemas.openxmlformats.org/spreadsheetml/2006/main" count="554" uniqueCount="194">
  <si>
    <t>Приложение № 3</t>
  </si>
  <si>
    <t>к Договору управления многоквартирным домом____</t>
  </si>
  <si>
    <t>Характеристика МКД</t>
  </si>
  <si>
    <t>м-н Горский, 78</t>
  </si>
  <si>
    <t>Количество подъездов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</si>
  <si>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</si>
  <si>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</si>
  <si>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</si>
  <si>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</si>
  <si>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</si>
  <si>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</si>
  <si>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Сумма затрат в год, руб.</t>
  </si>
  <si>
    <t>Размер платы за 1 кв.м. площади помещений в месяц, руб.</t>
  </si>
  <si>
    <t>Раздел 1.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</si>
  <si>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</si>
  <si>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</si>
  <si>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</si>
  <si>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1.1.</t>
  </si>
  <si>
    <t>В том числе замена ламп накаливания и выключателей в местах общего пользования</t>
  </si>
  <si>
    <r>
      <rPr>
        <b/>
        <sz val="11"/>
        <color indexed="8"/>
        <rFont val="Times New Roman"/>
        <family val="1"/>
        <charset val="204"/>
      </rPr>
      <t>470 шт. - лампы ЛОН
220 шт. - выключатели</t>
    </r>
    <r>
      <rPr>
        <sz val="11"/>
        <color indexed="8"/>
        <rFont val="Times New Roman"/>
        <family val="1"/>
        <charset val="204"/>
      </rPr>
      <t xml:space="preserve">
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  </r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</si>
  <si>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</si>
  <si>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</si>
  <si>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</si>
  <si>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3.</t>
  </si>
  <si>
    <t>Аварийно-ремонтное обслуживание</t>
  </si>
  <si>
    <t>круглосуточно на системах водоснабжения, водоотведения, теплоснабжения и энергообеспечения</t>
  </si>
  <si>
    <t>4.</t>
  </si>
  <si>
    <t>Санитарное содержание лестничных клеток</t>
  </si>
  <si>
    <t>4.1.</t>
  </si>
  <si>
    <t>- подметание пожарных переходов
- влажная уборка пожарных переходов (мытье)</t>
  </si>
  <si>
    <t>- 1 раз в неделю
- 1 раз в месяц в теплый период</t>
  </si>
  <si>
    <t>4.2.</t>
  </si>
  <si>
    <t>мытье лестничных площадок 
(лифтовые холлы и коридор)</t>
  </si>
  <si>
    <t>первый этаж - 5 раз в неделю
остальные этажи 2 раза в месяц  подметание и 2 раза в месяц мытье</t>
  </si>
  <si>
    <t>4.3.</t>
  </si>
  <si>
    <t>- мытье полов кабины лифтов
- подметание полов кабины лифтов</t>
  </si>
  <si>
    <t>- 2 раза в неделю
- 2 раза в неделю</t>
  </si>
  <si>
    <t>4.4.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</si>
  <si>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</si>
  <si>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1 раз в год</t>
  </si>
  <si>
    <t>4.5.</t>
  </si>
  <si>
    <t>влажная протирка стен, дверей, потолков и плафонов кабины лифта, подоконников, почтовых ящиков</t>
  </si>
  <si>
    <t>1 раз в месяц</t>
  </si>
  <si>
    <t>4.6.</t>
  </si>
  <si>
    <t>влажная протирка отопительных приборов</t>
  </si>
  <si>
    <t>2 раза в год</t>
  </si>
  <si>
    <t>4.7.</t>
  </si>
  <si>
    <t>мытье окон</t>
  </si>
  <si>
    <t>4.8.</t>
  </si>
  <si>
    <t>уборка крыльца</t>
  </si>
  <si>
    <t>1 раз в неделю</t>
  </si>
  <si>
    <t>5.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</si>
  <si>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</si>
  <si>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</si>
  <si>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</si>
  <si>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</si>
  <si>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</si>
  <si>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</si>
  <si>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</si>
  <si>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</si>
  <si>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</si>
  <si>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</si>
  <si>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</si>
  <si>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</si>
  <si>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</si>
  <si>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</si>
  <si>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</si>
  <si>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</si>
  <si>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</si>
  <si>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</si>
  <si>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</si>
  <si>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 раз в неделю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</si>
  <si>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</si>
  <si>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</si>
  <si>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</si>
  <si>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</si>
  <si>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</si>
  <si>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</si>
  <si>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</si>
  <si>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</si>
  <si>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</si>
  <si>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</si>
  <si>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</si>
  <si>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</si>
  <si>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</si>
  <si>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</si>
  <si>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</si>
  <si>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</si>
  <si>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</si>
  <si>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</si>
  <si>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</si>
  <si>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2 раза в неделю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</si>
  <si>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</si>
  <si>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</si>
  <si>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</si>
  <si>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</si>
  <si>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</si>
  <si>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</si>
  <si>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</si>
  <si>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в течении летнего периода</t>
  </si>
  <si>
    <t>6.</t>
  </si>
  <si>
    <t>Автоуслуги по вывозу снега       
(с последующей корректировкой за отчетный период)</t>
  </si>
  <si>
    <t>за фактически вывезенный объем</t>
  </si>
  <si>
    <t>7.</t>
  </si>
  <si>
    <t>Сбор, вывоз и утилизация крупногабаритных бытовых отходов</t>
  </si>
  <si>
    <t>по мере необходимости (1 раз в неделю)</t>
  </si>
  <si>
    <t>8.</t>
  </si>
  <si>
    <t>Сбор, вывоз и утилизация твердых бытовых отходов</t>
  </si>
  <si>
    <t>не реже одного раза в сутки</t>
  </si>
  <si>
    <t>9.</t>
  </si>
  <si>
    <t>Дератизация, дезинсекция</t>
  </si>
  <si>
    <t>дератизация - 1 раз в квартал, дезинсекция - 2 раза в год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</si>
  <si>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</si>
  <si>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</si>
  <si>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</si>
  <si>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</si>
  <si>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r>
      <t>Техническое обслуживание ИТП</t>
    </r>
    <r>
      <rPr>
        <sz val="11"/>
        <color indexed="8"/>
        <rFont val="Times New Roman"/>
        <family val="1"/>
        <charset val="204"/>
      </rPr>
      <t xml:space="preserve"> (автоматизированный)</t>
    </r>
  </si>
  <si>
    <t>ежемесячно</t>
  </si>
  <si>
    <t>12.</t>
  </si>
  <si>
    <r>
      <t xml:space="preserve">Техническое обслуживание ОПУ </t>
    </r>
    <r>
      <rPr>
        <sz val="11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</si>
  <si>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>13.</t>
  </si>
  <si>
    <t>Обслуживание  противопожарной автоматики</t>
  </si>
  <si>
    <t>14.</t>
  </si>
  <si>
    <t>Замена трансформаторов тока измерительного комплекса учета электроэнергии (10 комплектов)</t>
  </si>
  <si>
    <t>15.</t>
  </si>
  <si>
    <t>Профилактические испытания электроустановок</t>
  </si>
  <si>
    <t>на основании договора со специализированной организацией
проводится 1 раз в 3 года</t>
  </si>
  <si>
    <t>ТЕКУЩЕЕ СОДЕРЖАНИЕ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</si>
  <si>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</si>
  <si>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</si>
  <si>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Текущее содержание и управленческие расходы</t>
  </si>
  <si>
    <t>Раздел 2. Дополнительные услуги и работы</t>
  </si>
  <si>
    <t xml:space="preserve">Сбор денежных средств для формирования резерва на текущий ремонт </t>
  </si>
  <si>
    <t xml:space="preserve">% увеличения </t>
  </si>
  <si>
    <t>Директор ООО "КЖЭК "Горский"</t>
  </si>
  <si>
    <t>С.В. Занина</t>
  </si>
  <si>
    <t>Экономист</t>
  </si>
  <si>
    <t>М.А. Иващук</t>
  </si>
  <si>
    <r>
      <rPr>
        <u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В случае непринятия решения о перечне, периодичность и стоимости работ и услуг по содержанию и ремонту общего имущества МКД, не проведению общего собрания по данному вопросу управляющая организация продолжит выполнение своих договорных обязательств по договору управления на тех условиях, которые указаны в данном перечне и будет производить начисления в соответствии с новым тарифом с 01.01.2016 года.</t>
    </r>
  </si>
  <si>
    <t>Перечень и периодичность 
работ и услуг по содержанию общего имущества 
многоквартирного дома № 78 м-на Горский 
с 01.01.2017 по 31.12.2017 гг.</t>
  </si>
  <si>
    <t>Проведение мероприятий по энергосбережению</t>
  </si>
  <si>
    <t>разово</t>
  </si>
  <si>
    <t xml:space="preserve">                        Утверждаю:</t>
  </si>
  <si>
    <t xml:space="preserve"> Директор ООО «КЖЭК «Горский»</t>
  </si>
  <si>
    <t>___________________С.В. Занина</t>
  </si>
  <si>
    <t>14 ноября 2016 года</t>
  </si>
  <si>
    <t>КАЛЬКУЛЯЦИЯ</t>
  </si>
  <si>
    <t>стоимости работ и  услуг по проведению мероприятий по энергосбережению</t>
  </si>
  <si>
    <t>Наименование</t>
  </si>
  <si>
    <t>Сумма</t>
  </si>
  <si>
    <t>ФОТ электрик, 2 чел (86 часов)</t>
  </si>
  <si>
    <t>Накладные расходы, 10%</t>
  </si>
  <si>
    <t>ВСЕГО</t>
  </si>
  <si>
    <t>стоимость куба</t>
  </si>
  <si>
    <t>заложено на КГО на 2 дома на полгода</t>
  </si>
  <si>
    <t>кубов на 2 дома на 6 мес.</t>
  </si>
  <si>
    <t>куба на 2 дома в месяц</t>
  </si>
  <si>
    <t>53 дом</t>
  </si>
  <si>
    <t>72 дом</t>
  </si>
  <si>
    <t>ул. Горский м-н, дом 78</t>
  </si>
  <si>
    <t>Светильник вартон 8 Вт с датчиком - 16 шт в 1 подъезде</t>
  </si>
  <si>
    <t>Светильник вартон 8 Вт с датчиком - 16 шт во 2 подъезде</t>
  </si>
  <si>
    <t>Светильник вартон 8 Вт с датчиком - 18 шт в 3 подъезде</t>
  </si>
  <si>
    <t>Светильник вартон 8 Вт с датчиком - 18 шт в 4 подъезде</t>
  </si>
  <si>
    <t>Лампа LED ASD 11 Вт - 68 шт тех.этаж</t>
  </si>
  <si>
    <t>Лампа LED ASD 11 Вт - 72 шт подвал</t>
  </si>
  <si>
    <t>Светильник СДО 70 Вт уличный  - 4 шт</t>
  </si>
  <si>
    <t>все позиции проиндексированы на 5%
исключены замена трансформаторов и проф. испытания
добавлены мероприятия по энергосбережению</t>
  </si>
  <si>
    <t>Площадь МОП</t>
  </si>
  <si>
    <t>норм. численность</t>
  </si>
  <si>
    <t>Уборка лестничных клеток</t>
  </si>
  <si>
    <t>фот (на оклад 10 т.р.)</t>
  </si>
  <si>
    <t>ФОТ</t>
  </si>
  <si>
    <t>Страховые взносы, 30,2%</t>
  </si>
  <si>
    <t>Материалы, инвентарь, 10%</t>
  </si>
  <si>
    <t>Охрана труда, 0,2%</t>
  </si>
  <si>
    <t>Общеэксплуатационные расходы 7,2%</t>
  </si>
  <si>
    <t>Всего по себестоимости</t>
  </si>
  <si>
    <t>Рентабельность, 6%</t>
  </si>
  <si>
    <t>Уборка дворовой территории</t>
  </si>
  <si>
    <t>фот (на оклад 14 т.р.)</t>
  </si>
  <si>
    <t>Благоустройство, озеленение, кошение газонов</t>
  </si>
  <si>
    <t>Транспортные расходы, 5% от ФОТ</t>
  </si>
  <si>
    <t>Общеэксплуатационные  расходы 7,2%</t>
  </si>
  <si>
    <t>Горский 78</t>
  </si>
  <si>
    <t>все позиции проиндексированы на 5%
исключены замена трансформаторов и проф. испытания
добавлены мероприятия по энергосбережению
изменены суммы на МОП и двор.терр.</t>
  </si>
  <si>
    <t>с НДС т.к. в доп.усл.</t>
  </si>
  <si>
    <t>в течение летнего периода</t>
  </si>
  <si>
    <t>асфальт  1 класса - 1 раз в двое суток, асфальт 2 и 3 класса - 1 раз в 2 суток</t>
  </si>
  <si>
    <t>1 раз в трое суток</t>
  </si>
  <si>
    <t>Обслуживание противопожарной автоматики</t>
  </si>
  <si>
    <t>1 раз в сутки в дни сильных снегопадов</t>
  </si>
  <si>
    <t xml:space="preserve"> </t>
  </si>
  <si>
    <t>Перечень и периодичность 
работ и услуг по содержанию общего имущества 
многоквартирного дома № 78 м-на Горский 
с 01.01.2017 по 31.12.2018 гг.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</si>
</sst>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000"/>
    <numFmt numFmtId="166" formatCode="0.0000"/>
  </numFmts>
  <fonts count="4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9" borderId="5" applyNumberFormat="0" applyAlignment="0" applyProtection="0"/>
    <xf numFmtId="0" fontId="22" fillId="22" borderId="6" applyNumberFormat="0" applyAlignment="0" applyProtection="0"/>
    <xf numFmtId="0" fontId="23" fillId="22" borderId="5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19" fillId="0" borderId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2" applyNumberFormat="0" applyFont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0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2" fontId="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wrapText="1"/>
    </xf>
    <xf numFmtId="4" fontId="0" fillId="2" borderId="0" xfId="0" applyNumberFormat="1" applyFont="1" applyFill="1"/>
    <xf numFmtId="0" fontId="0" fillId="2" borderId="0" xfId="0" applyFont="1" applyFill="1"/>
    <xf numFmtId="4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1" fillId="0" borderId="0" xfId="0" applyFont="1" applyFill="1"/>
    <xf numFmtId="4" fontId="6" fillId="2" borderId="0" xfId="0" applyNumberFormat="1" applyFont="1" applyFill="1"/>
    <xf numFmtId="0" fontId="11" fillId="0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4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4" fontId="4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64" fontId="6" fillId="26" borderId="1" xfId="0" applyNumberFormat="1" applyFont="1" applyFill="1" applyBorder="1" applyAlignment="1">
      <alignment horizontal="center" vertical="center" wrapText="1"/>
    </xf>
    <xf numFmtId="2" fontId="41" fillId="2" borderId="0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5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7"/>
  <sheetViews>
    <sheetView tabSelected="1" view="pageBreakPreview" topLeftCell="A2" zoomScale="85" zoomScaleSheetLayoutView="85" workbookViewId="0">
      <selection activeCell="A4" sqref="A4:E4"/>
    </sheetView>
  </sheetViews>
  <sheetFormatPr defaultRowHeight="15"/>
  <cols>
    <col min="1" max="1" width="7.28515625" style="1" customWidth="1"/>
    <col min="2" max="2" width="45.140625" style="64" customWidth="1"/>
    <col min="3" max="3" width="66" style="65" customWidth="1"/>
    <col min="4" max="4" width="17.7109375" style="59" customWidth="1"/>
    <col min="5" max="5" width="17.7109375" style="61" customWidth="1"/>
    <col min="6" max="6" width="11.42578125" style="3" bestFit="1" customWidth="1"/>
    <col min="7" max="16384" width="9.140625" style="3"/>
  </cols>
  <sheetData>
    <row r="1" spans="1:6" ht="43.5" hidden="1">
      <c r="A1" s="1" t="s">
        <v>192</v>
      </c>
      <c r="C1" s="85" t="s">
        <v>167</v>
      </c>
    </row>
    <row r="2" spans="1:6">
      <c r="B2" s="2"/>
      <c r="C2" s="129" t="s">
        <v>0</v>
      </c>
      <c r="D2" s="129"/>
      <c r="E2" s="129"/>
    </row>
    <row r="3" spans="1:6">
      <c r="B3" s="2"/>
      <c r="C3" s="129" t="s">
        <v>1</v>
      </c>
      <c r="D3" s="129"/>
      <c r="E3" s="129"/>
    </row>
    <row r="4" spans="1:6" ht="88.5" customHeight="1">
      <c r="A4" s="130" t="s">
        <v>193</v>
      </c>
      <c r="B4" s="130"/>
      <c r="C4" s="130"/>
      <c r="D4" s="130"/>
      <c r="E4" s="131"/>
    </row>
    <row r="5" spans="1:6">
      <c r="A5" s="127" t="s">
        <v>2</v>
      </c>
      <c r="B5" s="119"/>
      <c r="C5" s="132" t="s">
        <v>3</v>
      </c>
      <c r="D5" s="132"/>
      <c r="E5" s="128"/>
    </row>
    <row r="6" spans="1:6">
      <c r="A6" s="127" t="s">
        <v>4</v>
      </c>
      <c r="B6" s="119"/>
      <c r="C6" s="123">
        <v>4</v>
      </c>
      <c r="D6" s="128"/>
      <c r="E6" s="128"/>
    </row>
    <row r="7" spans="1:6">
      <c r="A7" s="123" t="s">
        <v>5</v>
      </c>
      <c r="B7" s="119"/>
      <c r="C7" s="124">
        <v>22125.599999999999</v>
      </c>
      <c r="D7" s="125"/>
      <c r="E7" s="126"/>
    </row>
    <row r="8" spans="1:6">
      <c r="A8" s="113" t="s">
        <v>6</v>
      </c>
      <c r="B8" s="114"/>
      <c r="C8" s="115">
        <v>20953.3</v>
      </c>
      <c r="D8" s="116"/>
      <c r="E8" s="117"/>
    </row>
    <row r="9" spans="1:6">
      <c r="A9" s="113" t="s">
        <v>7</v>
      </c>
      <c r="B9" s="114"/>
      <c r="C9" s="115">
        <v>1172.3</v>
      </c>
      <c r="D9" s="116"/>
      <c r="E9" s="117"/>
      <c r="F9" s="4"/>
    </row>
    <row r="10" spans="1:6">
      <c r="A10" s="113" t="s">
        <v>168</v>
      </c>
      <c r="B10" s="114"/>
      <c r="C10" s="115">
        <v>4297</v>
      </c>
      <c r="D10" s="116"/>
      <c r="E10" s="117"/>
      <c r="F10" s="4"/>
    </row>
    <row r="11" spans="1:6">
      <c r="A11" s="113" t="s">
        <v>8</v>
      </c>
      <c r="B11" s="114"/>
      <c r="C11" s="115">
        <v>11791.4</v>
      </c>
      <c r="D11" s="116"/>
      <c r="E11" s="117"/>
      <c r="F11" s="4"/>
    </row>
    <row r="12" spans="1:6" ht="60">
      <c r="A12" s="118" t="s">
        <v>9</v>
      </c>
      <c r="B12" s="119"/>
      <c r="C12" s="5" t="s">
        <v>10</v>
      </c>
      <c r="D12" s="6" t="s">
        <v>11</v>
      </c>
      <c r="E12" s="6" t="s">
        <v>12</v>
      </c>
    </row>
    <row r="13" spans="1:6">
      <c r="A13" s="120" t="s">
        <v>13</v>
      </c>
      <c r="B13" s="121"/>
      <c r="C13" s="121"/>
      <c r="D13" s="121"/>
      <c r="E13" s="122"/>
    </row>
    <row r="14" spans="1:6" ht="123.75">
      <c r="A14" s="7" t="s">
        <v>14</v>
      </c>
      <c r="B14" s="8" t="s">
        <v>15</v>
      </c>
      <c r="C14" s="9" t="s">
        <v>16</v>
      </c>
      <c r="D14" s="10">
        <v>749552.81171517773</v>
      </c>
      <c r="E14" s="11">
        <v>2.8230978734858327</v>
      </c>
    </row>
    <row r="15" spans="1:6" ht="104.25">
      <c r="A15" s="12" t="s">
        <v>17</v>
      </c>
      <c r="B15" s="13" t="s">
        <v>18</v>
      </c>
      <c r="C15" s="14" t="s">
        <v>19</v>
      </c>
      <c r="D15" s="15">
        <v>21840</v>
      </c>
      <c r="E15" s="16">
        <v>8.2257656289546954E-2</v>
      </c>
    </row>
    <row r="16" spans="1:6" ht="101.25">
      <c r="A16" s="7" t="s">
        <v>20</v>
      </c>
      <c r="B16" s="8" t="s">
        <v>21</v>
      </c>
      <c r="C16" s="9" t="s">
        <v>22</v>
      </c>
      <c r="D16" s="10">
        <v>690832.08453011769</v>
      </c>
      <c r="E16" s="11">
        <v>2.6019335239500765</v>
      </c>
    </row>
    <row r="17" spans="1:6" ht="30">
      <c r="A17" s="7" t="s">
        <v>23</v>
      </c>
      <c r="B17" s="8" t="s">
        <v>24</v>
      </c>
      <c r="C17" s="17" t="s">
        <v>25</v>
      </c>
      <c r="D17" s="18">
        <v>401054.8860477822</v>
      </c>
      <c r="E17" s="11">
        <v>1.5105235792015517</v>
      </c>
    </row>
    <row r="18" spans="1:6" ht="28.5">
      <c r="A18" s="19" t="s">
        <v>26</v>
      </c>
      <c r="B18" s="20" t="s">
        <v>27</v>
      </c>
      <c r="C18" s="21"/>
      <c r="D18" s="18">
        <v>386968.8783013791</v>
      </c>
      <c r="E18" s="11">
        <v>1.4574703748198887</v>
      </c>
    </row>
    <row r="19" spans="1:6" ht="30">
      <c r="A19" s="7" t="s">
        <v>28</v>
      </c>
      <c r="B19" s="22" t="s">
        <v>29</v>
      </c>
      <c r="C19" s="23" t="s">
        <v>30</v>
      </c>
      <c r="D19" s="24">
        <v>344747.18232548202</v>
      </c>
      <c r="E19" s="16">
        <v>1.2984475838149854</v>
      </c>
    </row>
    <row r="20" spans="1:6" ht="30">
      <c r="A20" s="7" t="s">
        <v>31</v>
      </c>
      <c r="B20" s="13" t="s">
        <v>32</v>
      </c>
      <c r="C20" s="25" t="s">
        <v>33</v>
      </c>
      <c r="D20" s="24">
        <v>35520.013709517392</v>
      </c>
      <c r="E20" s="16">
        <v>0.13378173439182589</v>
      </c>
    </row>
    <row r="21" spans="1:6" ht="30">
      <c r="A21" s="7" t="s">
        <v>34</v>
      </c>
      <c r="B21" s="22" t="s">
        <v>35</v>
      </c>
      <c r="C21" s="23" t="s">
        <v>36</v>
      </c>
      <c r="D21" s="24">
        <v>1014.4857468738705</v>
      </c>
      <c r="E21" s="108">
        <v>3.8209349760528928E-3</v>
      </c>
    </row>
    <row r="22" spans="1:6" ht="75">
      <c r="A22" s="7" t="s">
        <v>37</v>
      </c>
      <c r="B22" s="13" t="s">
        <v>38</v>
      </c>
      <c r="C22" s="25" t="s">
        <v>39</v>
      </c>
      <c r="D22" s="26">
        <v>2314.9816711190329</v>
      </c>
      <c r="E22" s="16">
        <v>8.7190918781827123E-3</v>
      </c>
    </row>
    <row r="23" spans="1:6" ht="45">
      <c r="A23" s="7" t="s">
        <v>40</v>
      </c>
      <c r="B23" s="13" t="s">
        <v>41</v>
      </c>
      <c r="C23" s="25" t="s">
        <v>42</v>
      </c>
      <c r="D23" s="26">
        <v>645.73922113302672</v>
      </c>
      <c r="E23" s="108">
        <v>2.4320968362930525E-3</v>
      </c>
    </row>
    <row r="24" spans="1:6">
      <c r="A24" s="7" t="s">
        <v>43</v>
      </c>
      <c r="B24" s="13" t="s">
        <v>44</v>
      </c>
      <c r="C24" s="25" t="s">
        <v>45</v>
      </c>
      <c r="D24" s="26">
        <v>106.89711232202446</v>
      </c>
      <c r="E24" s="108">
        <v>4.0261474009753581E-4</v>
      </c>
    </row>
    <row r="25" spans="1:6">
      <c r="A25" s="7" t="s">
        <v>46</v>
      </c>
      <c r="B25" s="13" t="s">
        <v>47</v>
      </c>
      <c r="C25" s="25" t="s">
        <v>45</v>
      </c>
      <c r="D25" s="26">
        <v>1834.7912436194383</v>
      </c>
      <c r="E25" s="16">
        <v>6.9105140787874613E-3</v>
      </c>
      <c r="F25" s="27"/>
    </row>
    <row r="26" spans="1:6">
      <c r="A26" s="7" t="s">
        <v>48</v>
      </c>
      <c r="B26" s="13" t="s">
        <v>49</v>
      </c>
      <c r="C26" s="25" t="s">
        <v>50</v>
      </c>
      <c r="D26" s="26">
        <v>784.78727131307255</v>
      </c>
      <c r="E26" s="108">
        <v>2.9558041036667655E-3</v>
      </c>
    </row>
    <row r="27" spans="1:6" ht="28.5">
      <c r="A27" s="7" t="s">
        <v>51</v>
      </c>
      <c r="B27" s="8" t="s">
        <v>52</v>
      </c>
      <c r="C27" s="28"/>
      <c r="D27" s="18">
        <v>828946.71163812501</v>
      </c>
      <c r="E27" s="11">
        <v>3.1221251688772469</v>
      </c>
    </row>
    <row r="28" spans="1:6">
      <c r="A28" s="7" t="s">
        <v>53</v>
      </c>
      <c r="B28" s="29" t="s">
        <v>54</v>
      </c>
      <c r="C28" s="30"/>
      <c r="D28" s="100">
        <v>422280.24748894811</v>
      </c>
      <c r="E28" s="101">
        <v>1.5904662754492085</v>
      </c>
    </row>
    <row r="29" spans="1:6" ht="30">
      <c r="A29" s="7" t="s">
        <v>55</v>
      </c>
      <c r="B29" s="13" t="s">
        <v>56</v>
      </c>
      <c r="C29" s="31" t="s">
        <v>57</v>
      </c>
      <c r="D29" s="26">
        <v>173468.25142356986</v>
      </c>
      <c r="E29" s="16">
        <v>0.65334669426505143</v>
      </c>
    </row>
    <row r="30" spans="1:6" ht="30">
      <c r="A30" s="7" t="s">
        <v>58</v>
      </c>
      <c r="B30" s="13" t="s">
        <v>59</v>
      </c>
      <c r="C30" s="31" t="s">
        <v>60</v>
      </c>
      <c r="D30" s="26">
        <v>225061.75131823987</v>
      </c>
      <c r="E30" s="16">
        <v>0.84766722453568077</v>
      </c>
    </row>
    <row r="31" spans="1:6">
      <c r="A31" s="7" t="s">
        <v>61</v>
      </c>
      <c r="B31" s="13" t="s">
        <v>62</v>
      </c>
      <c r="C31" s="31" t="s">
        <v>63</v>
      </c>
      <c r="D31" s="26">
        <v>18014.012545130907</v>
      </c>
      <c r="E31" s="16">
        <v>6.7847548183743819E-2</v>
      </c>
    </row>
    <row r="32" spans="1:6" ht="30">
      <c r="A32" s="7" t="s">
        <v>64</v>
      </c>
      <c r="B32" s="13" t="s">
        <v>65</v>
      </c>
      <c r="C32" s="31" t="s">
        <v>50</v>
      </c>
      <c r="D32" s="26">
        <v>1074.7913326942532</v>
      </c>
      <c r="E32" s="108">
        <v>4.0480684994390111E-3</v>
      </c>
    </row>
    <row r="33" spans="1:6" ht="30">
      <c r="A33" s="7" t="s">
        <v>66</v>
      </c>
      <c r="B33" s="13" t="s">
        <v>67</v>
      </c>
      <c r="C33" s="31" t="s">
        <v>68</v>
      </c>
      <c r="D33" s="26">
        <v>908.25817640173034</v>
      </c>
      <c r="E33" s="108">
        <v>3.4208419824461652E-3</v>
      </c>
    </row>
    <row r="34" spans="1:6">
      <c r="A34" s="7" t="s">
        <v>69</v>
      </c>
      <c r="B34" s="13" t="s">
        <v>70</v>
      </c>
      <c r="C34" s="31" t="s">
        <v>71</v>
      </c>
      <c r="D34" s="26">
        <v>2724.8083361796716</v>
      </c>
      <c r="E34" s="16">
        <v>1.02626532771227E-2</v>
      </c>
    </row>
    <row r="35" spans="1:6" ht="30">
      <c r="A35" s="7" t="s">
        <v>72</v>
      </c>
      <c r="B35" s="13" t="s">
        <v>73</v>
      </c>
      <c r="C35" s="31" t="s">
        <v>74</v>
      </c>
      <c r="D35" s="26">
        <v>1001.5316189943144</v>
      </c>
      <c r="E35" s="16">
        <v>3.7721448570672074E-3</v>
      </c>
    </row>
    <row r="36" spans="1:6">
      <c r="A36" s="7" t="s">
        <v>75</v>
      </c>
      <c r="B36" s="13" t="s">
        <v>76</v>
      </c>
      <c r="C36" s="31" t="s">
        <v>77</v>
      </c>
      <c r="D36" s="26">
        <v>26.842737737771635</v>
      </c>
      <c r="E36" s="16">
        <v>1.0109984865861127E-4</v>
      </c>
    </row>
    <row r="37" spans="1:6">
      <c r="A37" s="7" t="s">
        <v>78</v>
      </c>
      <c r="B37" s="29" t="s">
        <v>79</v>
      </c>
      <c r="C37" s="32"/>
      <c r="D37" s="100">
        <v>406666.46414917702</v>
      </c>
      <c r="E37" s="101">
        <v>1.5316588934280391</v>
      </c>
    </row>
    <row r="38" spans="1:6" ht="30">
      <c r="A38" s="7" t="s">
        <v>80</v>
      </c>
      <c r="B38" s="13" t="s">
        <v>81</v>
      </c>
      <c r="C38" s="31" t="s">
        <v>82</v>
      </c>
      <c r="D38" s="26">
        <v>188620.01112357751</v>
      </c>
      <c r="E38" s="16">
        <v>0.71041392144385362</v>
      </c>
      <c r="F38" s="4"/>
    </row>
    <row r="39" spans="1:6" ht="30">
      <c r="A39" s="7" t="s">
        <v>83</v>
      </c>
      <c r="B39" s="13" t="s">
        <v>84</v>
      </c>
      <c r="C39" s="31" t="s">
        <v>85</v>
      </c>
      <c r="D39" s="26">
        <v>14698.31672730313</v>
      </c>
      <c r="E39" s="16">
        <v>5.535939035665749E-2</v>
      </c>
    </row>
    <row r="40" spans="1:6">
      <c r="A40" s="7" t="s">
        <v>86</v>
      </c>
      <c r="B40" s="13" t="s">
        <v>87</v>
      </c>
      <c r="C40" s="31" t="s">
        <v>88</v>
      </c>
      <c r="D40" s="26">
        <v>168775.69100470544</v>
      </c>
      <c r="E40" s="16">
        <v>0.63567274636885729</v>
      </c>
    </row>
    <row r="41" spans="1:6" ht="30">
      <c r="A41" s="7" t="s">
        <v>89</v>
      </c>
      <c r="B41" s="13" t="s">
        <v>90</v>
      </c>
      <c r="C41" s="31" t="s">
        <v>91</v>
      </c>
      <c r="D41" s="26">
        <v>107.11447581863528</v>
      </c>
      <c r="E41" s="108">
        <v>4.0343341279873126E-4</v>
      </c>
    </row>
    <row r="42" spans="1:6">
      <c r="A42" s="7" t="s">
        <v>92</v>
      </c>
      <c r="B42" s="13" t="s">
        <v>93</v>
      </c>
      <c r="C42" s="33" t="s">
        <v>71</v>
      </c>
      <c r="D42" s="26">
        <v>1277.6291805129017</v>
      </c>
      <c r="E42" s="108">
        <v>4.8120321426797534E-3</v>
      </c>
    </row>
    <row r="43" spans="1:6">
      <c r="A43" s="7" t="s">
        <v>94</v>
      </c>
      <c r="B43" s="13" t="s">
        <v>95</v>
      </c>
      <c r="C43" s="33" t="s">
        <v>42</v>
      </c>
      <c r="D43" s="26">
        <v>1278.0291327308335</v>
      </c>
      <c r="E43" s="108">
        <v>4.8135385131960022E-3</v>
      </c>
      <c r="F43" s="27"/>
    </row>
    <row r="44" spans="1:6">
      <c r="A44" s="7" t="s">
        <v>96</v>
      </c>
      <c r="B44" s="13" t="s">
        <v>76</v>
      </c>
      <c r="C44" s="33" t="s">
        <v>77</v>
      </c>
      <c r="D44" s="26">
        <v>28.869278275626744</v>
      </c>
      <c r="E44" s="108">
        <v>1.0873256271629072E-4</v>
      </c>
    </row>
    <row r="45" spans="1:6" s="37" customFormat="1">
      <c r="A45" s="19" t="s">
        <v>97</v>
      </c>
      <c r="B45" s="34" t="s">
        <v>98</v>
      </c>
      <c r="C45" s="35" t="s">
        <v>99</v>
      </c>
      <c r="D45" s="26">
        <v>31880.803226253422</v>
      </c>
      <c r="E45" s="16">
        <v>0.12007509862728176</v>
      </c>
      <c r="F45" s="36"/>
    </row>
    <row r="46" spans="1:6" ht="51" customHeight="1">
      <c r="A46" s="7" t="s">
        <v>100</v>
      </c>
      <c r="B46" s="38" t="s">
        <v>101</v>
      </c>
      <c r="C46" s="39" t="s">
        <v>102</v>
      </c>
      <c r="D46" s="18">
        <v>202276.83098700002</v>
      </c>
      <c r="E46" s="11">
        <v>0.76185064279612769</v>
      </c>
    </row>
    <row r="47" spans="1:6" ht="33.75" customHeight="1">
      <c r="A47" s="7" t="s">
        <v>103</v>
      </c>
      <c r="B47" s="8" t="s">
        <v>104</v>
      </c>
      <c r="C47" s="40" t="s">
        <v>105</v>
      </c>
      <c r="D47" s="18">
        <v>462220.94760811201</v>
      </c>
      <c r="E47" s="11">
        <v>1.7408979779384965</v>
      </c>
    </row>
    <row r="48" spans="1:6" ht="34.5" customHeight="1">
      <c r="A48" s="7" t="s">
        <v>106</v>
      </c>
      <c r="B48" s="8" t="s">
        <v>107</v>
      </c>
      <c r="C48" s="40" t="s">
        <v>108</v>
      </c>
      <c r="D48" s="18">
        <v>319965.1690158</v>
      </c>
      <c r="E48" s="11">
        <v>1.2051091986047837</v>
      </c>
    </row>
    <row r="49" spans="1:6" ht="18.75" customHeight="1">
      <c r="A49" s="7" t="s">
        <v>109</v>
      </c>
      <c r="B49" s="8" t="s">
        <v>110</v>
      </c>
      <c r="C49" s="40" t="s">
        <v>111</v>
      </c>
      <c r="D49" s="18">
        <v>24466.555913497377</v>
      </c>
      <c r="E49" s="11">
        <v>9.2150253979919855E-2</v>
      </c>
    </row>
    <row r="50" spans="1:6" ht="25.5" customHeight="1">
      <c r="A50" s="7" t="s">
        <v>112</v>
      </c>
      <c r="B50" s="8" t="s">
        <v>113</v>
      </c>
      <c r="C50" s="40" t="s">
        <v>114</v>
      </c>
      <c r="D50" s="18">
        <v>776007.47887740016</v>
      </c>
      <c r="E50" s="11">
        <v>2.9227361023633267</v>
      </c>
    </row>
    <row r="51" spans="1:6" ht="30">
      <c r="A51" s="7" t="s">
        <v>115</v>
      </c>
      <c r="B51" s="8" t="s">
        <v>116</v>
      </c>
      <c r="C51" s="40" t="s">
        <v>117</v>
      </c>
      <c r="D51" s="18">
        <v>88841.949840000001</v>
      </c>
      <c r="E51" s="11">
        <v>0.33461220577069101</v>
      </c>
    </row>
    <row r="52" spans="1:6" ht="30">
      <c r="A52" s="7" t="s">
        <v>118</v>
      </c>
      <c r="B52" s="8" t="s">
        <v>119</v>
      </c>
      <c r="C52" s="40" t="s">
        <v>117</v>
      </c>
      <c r="D52" s="18">
        <v>60659.507160000008</v>
      </c>
      <c r="E52" s="11">
        <v>0.22846652429764622</v>
      </c>
    </row>
    <row r="53" spans="1:6" ht="28.5">
      <c r="A53" s="7" t="s">
        <v>120</v>
      </c>
      <c r="B53" s="8" t="s">
        <v>121</v>
      </c>
      <c r="C53" s="40" t="s">
        <v>114</v>
      </c>
      <c r="D53" s="18">
        <v>603348.71480847476</v>
      </c>
      <c r="E53" s="11">
        <v>2.2724382420080316</v>
      </c>
    </row>
    <row r="54" spans="1:6" ht="42.75" hidden="1">
      <c r="A54" s="41" t="s">
        <v>122</v>
      </c>
      <c r="B54" s="8" t="s">
        <v>123</v>
      </c>
      <c r="C54" s="40"/>
      <c r="D54" s="18">
        <v>0</v>
      </c>
      <c r="E54" s="11">
        <v>0</v>
      </c>
    </row>
    <row r="55" spans="1:6" ht="30" hidden="1">
      <c r="A55" s="7" t="s">
        <v>124</v>
      </c>
      <c r="B55" s="8" t="s">
        <v>125</v>
      </c>
      <c r="C55" s="40" t="s">
        <v>126</v>
      </c>
      <c r="D55" s="18">
        <v>0</v>
      </c>
      <c r="E55" s="11">
        <v>0</v>
      </c>
    </row>
    <row r="56" spans="1:6">
      <c r="A56" s="42"/>
      <c r="B56" s="8" t="s">
        <v>127</v>
      </c>
      <c r="C56" s="28"/>
      <c r="D56" s="43">
        <v>5595142.5264428649</v>
      </c>
      <c r="E56" s="43">
        <v>21.073411668093616</v>
      </c>
      <c r="F56" s="27"/>
    </row>
    <row r="57" spans="1:6" ht="112.5">
      <c r="A57" s="19"/>
      <c r="B57" s="8" t="s">
        <v>128</v>
      </c>
      <c r="C57" s="44" t="s">
        <v>129</v>
      </c>
      <c r="D57" s="43">
        <v>1119028.505288573</v>
      </c>
      <c r="E57" s="43">
        <v>4.2146823336187236</v>
      </c>
    </row>
    <row r="58" spans="1:6" ht="29.25" customHeight="1">
      <c r="A58" s="42"/>
      <c r="B58" s="8" t="s">
        <v>130</v>
      </c>
      <c r="C58" s="28"/>
      <c r="D58" s="43">
        <v>6714171.0317314379</v>
      </c>
      <c r="E58" s="43">
        <v>25.288094001712338</v>
      </c>
      <c r="F58" s="27"/>
    </row>
    <row r="59" spans="1:6">
      <c r="A59" s="109" t="s">
        <v>131</v>
      </c>
      <c r="B59" s="110"/>
      <c r="C59" s="110"/>
      <c r="D59" s="110"/>
      <c r="E59" s="111"/>
      <c r="F59" s="27"/>
    </row>
    <row r="60" spans="1:6" ht="42.75">
      <c r="A60" s="19" t="s">
        <v>14</v>
      </c>
      <c r="B60" s="8" t="s">
        <v>132</v>
      </c>
      <c r="C60" s="45"/>
      <c r="D60" s="18">
        <v>139391.28</v>
      </c>
      <c r="E60" s="11">
        <v>0.52500000000000002</v>
      </c>
    </row>
    <row r="61" spans="1:6">
      <c r="A61" s="46"/>
      <c r="B61" s="2"/>
      <c r="C61" s="47"/>
      <c r="D61" s="48"/>
      <c r="E61" s="49"/>
    </row>
    <row r="62" spans="1:6" hidden="1">
      <c r="A62" s="46"/>
      <c r="B62" s="2"/>
      <c r="C62" s="50">
        <v>2017</v>
      </c>
      <c r="D62" s="50">
        <v>2016</v>
      </c>
      <c r="E62" s="50" t="s">
        <v>133</v>
      </c>
    </row>
    <row r="63" spans="1:6" hidden="1">
      <c r="A63" s="46"/>
      <c r="B63" s="2"/>
      <c r="C63" s="51">
        <v>25.288094001712338</v>
      </c>
      <c r="D63" s="51">
        <v>24.06</v>
      </c>
      <c r="E63" s="52">
        <v>5.1042975964768811E-2</v>
      </c>
    </row>
    <row r="64" spans="1:6">
      <c r="A64" s="46"/>
      <c r="B64" s="2"/>
      <c r="C64" s="47"/>
      <c r="D64" s="48"/>
      <c r="E64" s="107">
        <v>1.0510429759647688</v>
      </c>
    </row>
    <row r="65" spans="1:11">
      <c r="A65" s="53"/>
      <c r="B65" s="54"/>
      <c r="C65" s="55"/>
      <c r="D65" s="56"/>
      <c r="E65" s="56"/>
    </row>
    <row r="66" spans="1:11">
      <c r="B66" s="57" t="s">
        <v>134</v>
      </c>
      <c r="C66" s="58"/>
      <c r="D66" s="3"/>
      <c r="E66" s="59" t="s">
        <v>135</v>
      </c>
    </row>
    <row r="67" spans="1:11">
      <c r="B67" s="57"/>
      <c r="C67" s="58"/>
      <c r="D67" s="3"/>
      <c r="E67" s="59"/>
    </row>
    <row r="68" spans="1:11">
      <c r="B68" s="57" t="s">
        <v>136</v>
      </c>
      <c r="C68" s="58"/>
      <c r="D68" s="3"/>
      <c r="E68" s="59" t="s">
        <v>137</v>
      </c>
    </row>
    <row r="69" spans="1:11">
      <c r="B69" s="60"/>
      <c r="C69" s="58"/>
    </row>
    <row r="70" spans="1:11">
      <c r="A70" s="112"/>
      <c r="B70" s="112"/>
      <c r="C70" s="112"/>
      <c r="D70" s="112"/>
      <c r="E70" s="112"/>
      <c r="F70" s="62"/>
      <c r="G70" s="62"/>
      <c r="H70" s="62"/>
      <c r="I70" s="62"/>
      <c r="J70" s="62"/>
      <c r="K70" s="62"/>
    </row>
    <row r="71" spans="1:11">
      <c r="A71" s="62"/>
      <c r="B71" s="63"/>
      <c r="C71" s="62"/>
      <c r="D71" s="62"/>
      <c r="E71" s="62"/>
      <c r="F71" s="62"/>
      <c r="G71" s="62"/>
      <c r="H71" s="62"/>
      <c r="I71" s="62"/>
      <c r="J71" s="62"/>
      <c r="K71" s="62"/>
    </row>
    <row r="72" spans="1:11">
      <c r="B72" s="60"/>
      <c r="C72" s="58"/>
    </row>
    <row r="73" spans="1:11">
      <c r="B73" s="60"/>
      <c r="C73" s="58"/>
    </row>
    <row r="74" spans="1:11">
      <c r="B74" s="60"/>
      <c r="C74" s="58"/>
    </row>
    <row r="75" spans="1:11">
      <c r="B75" s="60"/>
      <c r="C75" s="58"/>
    </row>
    <row r="76" spans="1:11">
      <c r="B76" s="60"/>
      <c r="C76" s="58"/>
    </row>
    <row r="77" spans="1:11">
      <c r="B77" s="60"/>
      <c r="C77" s="58"/>
    </row>
    <row r="78" spans="1:11">
      <c r="B78" s="60"/>
      <c r="C78" s="58"/>
    </row>
    <row r="79" spans="1:11">
      <c r="B79" s="60"/>
      <c r="C79" s="58"/>
    </row>
    <row r="80" spans="1:11">
      <c r="B80" s="60"/>
      <c r="C80" s="58"/>
    </row>
    <row r="81" spans="1:13">
      <c r="B81" s="60"/>
      <c r="C81" s="58"/>
    </row>
    <row r="82" spans="1:13">
      <c r="B82" s="60"/>
      <c r="C82" s="58"/>
    </row>
    <row r="83" spans="1:13">
      <c r="B83" s="60"/>
      <c r="C83" s="58"/>
    </row>
    <row r="84" spans="1:13">
      <c r="B84" s="60"/>
      <c r="C84" s="58"/>
    </row>
    <row r="85" spans="1:13">
      <c r="B85" s="60"/>
      <c r="C85" s="58"/>
    </row>
    <row r="86" spans="1:13" s="59" customFormat="1">
      <c r="A86" s="1"/>
      <c r="B86" s="60"/>
      <c r="C86" s="58"/>
      <c r="E86" s="61"/>
      <c r="F86" s="3"/>
      <c r="G86" s="3"/>
      <c r="H86" s="3"/>
      <c r="I86" s="3"/>
      <c r="J86" s="3"/>
      <c r="K86" s="3"/>
      <c r="L86" s="3"/>
      <c r="M86" s="3"/>
    </row>
    <row r="87" spans="1:13" s="59" customFormat="1">
      <c r="A87" s="1"/>
      <c r="B87" s="60"/>
      <c r="C87" s="58"/>
      <c r="E87" s="61"/>
      <c r="F87" s="3"/>
      <c r="G87" s="3"/>
      <c r="H87" s="3"/>
      <c r="I87" s="3"/>
      <c r="J87" s="3"/>
      <c r="K87" s="3"/>
      <c r="L87" s="3"/>
      <c r="M87" s="3"/>
    </row>
    <row r="88" spans="1:13" s="59" customFormat="1">
      <c r="A88" s="1"/>
      <c r="B88" s="60"/>
      <c r="C88" s="58"/>
      <c r="E88" s="61"/>
      <c r="F88" s="3"/>
      <c r="G88" s="3"/>
      <c r="H88" s="3"/>
      <c r="I88" s="3"/>
      <c r="J88" s="3"/>
      <c r="K88" s="3"/>
      <c r="L88" s="3"/>
      <c r="M88" s="3"/>
    </row>
    <row r="89" spans="1:13" s="59" customFormat="1">
      <c r="A89" s="1"/>
      <c r="B89" s="60"/>
      <c r="C89" s="58"/>
      <c r="E89" s="61"/>
      <c r="F89" s="3"/>
      <c r="G89" s="3"/>
      <c r="H89" s="3"/>
      <c r="I89" s="3"/>
      <c r="J89" s="3"/>
      <c r="K89" s="3"/>
      <c r="L89" s="3"/>
      <c r="M89" s="3"/>
    </row>
    <row r="90" spans="1:13" s="59" customFormat="1">
      <c r="A90" s="1"/>
      <c r="B90" s="60"/>
      <c r="C90" s="58"/>
      <c r="E90" s="61"/>
      <c r="F90" s="3"/>
      <c r="G90" s="3"/>
      <c r="H90" s="3"/>
      <c r="I90" s="3"/>
      <c r="J90" s="3"/>
      <c r="K90" s="3"/>
      <c r="L90" s="3"/>
      <c r="M90" s="3"/>
    </row>
    <row r="91" spans="1:13" s="59" customFormat="1">
      <c r="A91" s="1"/>
      <c r="B91" s="60"/>
      <c r="C91" s="58"/>
      <c r="E91" s="61"/>
      <c r="F91" s="3"/>
      <c r="G91" s="3"/>
      <c r="H91" s="3"/>
      <c r="I91" s="3"/>
      <c r="J91" s="3"/>
      <c r="K91" s="3"/>
      <c r="L91" s="3"/>
      <c r="M91" s="3"/>
    </row>
    <row r="92" spans="1:13" s="59" customFormat="1">
      <c r="A92" s="1"/>
      <c r="B92" s="60"/>
      <c r="C92" s="58"/>
      <c r="E92" s="61"/>
      <c r="F92" s="3"/>
      <c r="G92" s="3"/>
      <c r="H92" s="3"/>
      <c r="I92" s="3"/>
      <c r="J92" s="3"/>
      <c r="K92" s="3"/>
      <c r="L92" s="3"/>
      <c r="M92" s="3"/>
    </row>
    <row r="93" spans="1:13" s="59" customFormat="1">
      <c r="A93" s="1"/>
      <c r="B93" s="60"/>
      <c r="C93" s="58"/>
      <c r="E93" s="61"/>
      <c r="F93" s="3"/>
      <c r="G93" s="3"/>
      <c r="H93" s="3"/>
      <c r="I93" s="3"/>
      <c r="J93" s="3"/>
      <c r="K93" s="3"/>
      <c r="L93" s="3"/>
      <c r="M93" s="3"/>
    </row>
    <row r="94" spans="1:13" s="59" customFormat="1">
      <c r="A94" s="1"/>
      <c r="B94" s="60"/>
      <c r="C94" s="58"/>
      <c r="E94" s="61"/>
      <c r="F94" s="3"/>
      <c r="G94" s="3"/>
      <c r="H94" s="3"/>
      <c r="I94" s="3"/>
      <c r="J94" s="3"/>
      <c r="K94" s="3"/>
      <c r="L94" s="3"/>
      <c r="M94" s="3"/>
    </row>
    <row r="95" spans="1:13" s="59" customFormat="1">
      <c r="A95" s="1"/>
      <c r="B95" s="60"/>
      <c r="C95" s="58"/>
      <c r="E95" s="61"/>
      <c r="F95" s="3"/>
      <c r="G95" s="3"/>
      <c r="H95" s="3"/>
      <c r="I95" s="3"/>
      <c r="J95" s="3"/>
      <c r="K95" s="3"/>
      <c r="L95" s="3"/>
      <c r="M95" s="3"/>
    </row>
    <row r="96" spans="1:13" s="59" customFormat="1">
      <c r="A96" s="1"/>
      <c r="B96" s="60"/>
      <c r="C96" s="58"/>
      <c r="E96" s="61"/>
      <c r="F96" s="3"/>
      <c r="G96" s="3"/>
      <c r="H96" s="3"/>
      <c r="I96" s="3"/>
      <c r="J96" s="3"/>
      <c r="K96" s="3"/>
      <c r="L96" s="3"/>
      <c r="M96" s="3"/>
    </row>
    <row r="97" spans="1:13" s="59" customFormat="1">
      <c r="A97" s="1"/>
      <c r="B97" s="60"/>
      <c r="C97" s="58"/>
      <c r="E97" s="61"/>
      <c r="F97" s="3"/>
      <c r="G97" s="3"/>
      <c r="H97" s="3"/>
      <c r="I97" s="3"/>
      <c r="J97" s="3"/>
      <c r="K97" s="3"/>
      <c r="L97" s="3"/>
      <c r="M97" s="3"/>
    </row>
    <row r="98" spans="1:13" s="59" customFormat="1">
      <c r="A98" s="1"/>
      <c r="B98" s="60"/>
      <c r="C98" s="58"/>
      <c r="E98" s="61"/>
      <c r="F98" s="3"/>
      <c r="G98" s="3"/>
      <c r="H98" s="3"/>
      <c r="I98" s="3"/>
      <c r="J98" s="3"/>
      <c r="K98" s="3"/>
      <c r="L98" s="3"/>
      <c r="M98" s="3"/>
    </row>
    <row r="99" spans="1:13" s="59" customFormat="1">
      <c r="A99" s="1"/>
      <c r="B99" s="60"/>
      <c r="C99" s="58"/>
      <c r="E99" s="61"/>
      <c r="F99" s="3"/>
      <c r="G99" s="3"/>
      <c r="H99" s="3"/>
      <c r="I99" s="3"/>
      <c r="J99" s="3"/>
      <c r="K99" s="3"/>
      <c r="L99" s="3"/>
      <c r="M99" s="3"/>
    </row>
    <row r="100" spans="1:13" s="59" customFormat="1">
      <c r="A100" s="1"/>
      <c r="B100" s="60"/>
      <c r="C100" s="58"/>
      <c r="E100" s="61"/>
      <c r="F100" s="3"/>
      <c r="G100" s="3"/>
      <c r="H100" s="3"/>
      <c r="I100" s="3"/>
      <c r="J100" s="3"/>
      <c r="K100" s="3"/>
      <c r="L100" s="3"/>
      <c r="M100" s="3"/>
    </row>
    <row r="101" spans="1:13" s="59" customFormat="1">
      <c r="A101" s="1"/>
      <c r="B101" s="60"/>
      <c r="C101" s="58"/>
      <c r="E101" s="61"/>
      <c r="F101" s="3"/>
      <c r="G101" s="3"/>
      <c r="H101" s="3"/>
      <c r="I101" s="3"/>
      <c r="J101" s="3"/>
      <c r="K101" s="3"/>
      <c r="L101" s="3"/>
      <c r="M101" s="3"/>
    </row>
    <row r="102" spans="1:13" s="59" customFormat="1">
      <c r="A102" s="1"/>
      <c r="B102" s="60"/>
      <c r="C102" s="58"/>
      <c r="E102" s="61"/>
      <c r="F102" s="3"/>
      <c r="G102" s="3"/>
      <c r="H102" s="3"/>
      <c r="I102" s="3"/>
      <c r="J102" s="3"/>
      <c r="K102" s="3"/>
      <c r="L102" s="3"/>
      <c r="M102" s="3"/>
    </row>
    <row r="103" spans="1:13" s="59" customFormat="1">
      <c r="A103" s="1"/>
      <c r="B103" s="60"/>
      <c r="C103" s="58"/>
      <c r="E103" s="61"/>
      <c r="F103" s="3"/>
      <c r="G103" s="3"/>
      <c r="H103" s="3"/>
      <c r="I103" s="3"/>
      <c r="J103" s="3"/>
      <c r="K103" s="3"/>
      <c r="L103" s="3"/>
      <c r="M103" s="3"/>
    </row>
    <row r="104" spans="1:13" s="59" customFormat="1">
      <c r="A104" s="1"/>
      <c r="B104" s="60"/>
      <c r="C104" s="58"/>
      <c r="E104" s="61"/>
      <c r="F104" s="3"/>
      <c r="G104" s="3"/>
      <c r="H104" s="3"/>
      <c r="I104" s="3"/>
      <c r="J104" s="3"/>
      <c r="K104" s="3"/>
      <c r="L104" s="3"/>
      <c r="M104" s="3"/>
    </row>
    <row r="105" spans="1:13" s="59" customFormat="1">
      <c r="A105" s="1"/>
      <c r="B105" s="60"/>
      <c r="C105" s="58"/>
      <c r="E105" s="61"/>
      <c r="F105" s="3"/>
      <c r="G105" s="3"/>
      <c r="H105" s="3"/>
      <c r="I105" s="3"/>
      <c r="J105" s="3"/>
      <c r="K105" s="3"/>
      <c r="L105" s="3"/>
      <c r="M105" s="3"/>
    </row>
    <row r="106" spans="1:13" s="59" customFormat="1">
      <c r="A106" s="1"/>
      <c r="B106" s="60"/>
      <c r="C106" s="58"/>
      <c r="E106" s="61"/>
      <c r="F106" s="3"/>
      <c r="G106" s="3"/>
      <c r="H106" s="3"/>
      <c r="I106" s="3"/>
      <c r="J106" s="3"/>
      <c r="K106" s="3"/>
      <c r="L106" s="3"/>
      <c r="M106" s="3"/>
    </row>
    <row r="107" spans="1:13" s="59" customFormat="1">
      <c r="A107" s="1"/>
      <c r="B107" s="60"/>
      <c r="C107" s="58"/>
      <c r="E107" s="61"/>
      <c r="F107" s="3"/>
      <c r="G107" s="3"/>
      <c r="H107" s="3"/>
      <c r="I107" s="3"/>
      <c r="J107" s="3"/>
      <c r="K107" s="3"/>
      <c r="L107" s="3"/>
      <c r="M107" s="3"/>
    </row>
  </sheetData>
  <mergeCells count="21">
    <mergeCell ref="A6:B6"/>
    <mergeCell ref="C6:E6"/>
    <mergeCell ref="C2:E2"/>
    <mergeCell ref="C3:E3"/>
    <mergeCell ref="A4:E4"/>
    <mergeCell ref="A5:B5"/>
    <mergeCell ref="C5:E5"/>
    <mergeCell ref="A7:B7"/>
    <mergeCell ref="C7:E7"/>
    <mergeCell ref="A8:B8"/>
    <mergeCell ref="C8:E8"/>
    <mergeCell ref="A9:B9"/>
    <mergeCell ref="C9:E9"/>
    <mergeCell ref="A59:E59"/>
    <mergeCell ref="A70:E70"/>
    <mergeCell ref="A10:B10"/>
    <mergeCell ref="C10:E10"/>
    <mergeCell ref="A11:B11"/>
    <mergeCell ref="C11:E11"/>
    <mergeCell ref="A12:B12"/>
    <mergeCell ref="A13:E13"/>
  </mergeCells>
  <printOptions horizontalCentered="1"/>
  <pageMargins left="0.51181102362204722" right="0.51181102362204722" top="0.55118110236220474" bottom="0.55118110236220474" header="0.31496062992125984" footer="0.31496062992125984"/>
  <pageSetup scale="60" orientation="portrait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Normal="100" zoomScaleSheetLayoutView="100" workbookViewId="0">
      <selection activeCell="B29" sqref="B29"/>
    </sheetView>
  </sheetViews>
  <sheetFormatPr defaultRowHeight="15"/>
  <cols>
    <col min="1" max="1" width="6.5703125" style="68" customWidth="1"/>
    <col min="2" max="2" width="53.7109375" style="68" bestFit="1" customWidth="1"/>
    <col min="3" max="3" width="15.140625" style="68" customWidth="1"/>
    <col min="4" max="4" width="7.42578125" style="68" customWidth="1"/>
    <col min="5" max="5" width="11.7109375" style="68" bestFit="1" customWidth="1"/>
    <col min="6" max="16384" width="9.140625" style="68"/>
  </cols>
  <sheetData>
    <row r="1" spans="2:4" ht="15" customHeight="1">
      <c r="B1" s="62"/>
      <c r="C1" s="138" t="s">
        <v>142</v>
      </c>
      <c r="D1" s="138"/>
    </row>
    <row r="2" spans="2:4" ht="15" customHeight="1">
      <c r="B2" s="138" t="s">
        <v>143</v>
      </c>
      <c r="C2" s="138"/>
      <c r="D2" s="138"/>
    </row>
    <row r="3" spans="2:4" ht="15.75">
      <c r="B3" s="62"/>
      <c r="C3" s="62"/>
      <c r="D3" s="69"/>
    </row>
    <row r="4" spans="2:4" ht="15" customHeight="1">
      <c r="B4" s="138" t="s">
        <v>144</v>
      </c>
      <c r="C4" s="138"/>
      <c r="D4" s="138"/>
    </row>
    <row r="5" spans="2:4" ht="15.75">
      <c r="B5" s="62"/>
      <c r="C5" s="62"/>
      <c r="D5" s="69"/>
    </row>
    <row r="6" spans="2:4" ht="15" customHeight="1">
      <c r="B6" s="138" t="s">
        <v>145</v>
      </c>
      <c r="C6" s="138"/>
      <c r="D6" s="138"/>
    </row>
    <row r="7" spans="2:4" ht="15.75">
      <c r="B7" s="69"/>
      <c r="C7" s="62"/>
      <c r="D7" s="62"/>
    </row>
    <row r="8" spans="2:4" ht="15.75">
      <c r="B8" s="69"/>
      <c r="C8" s="62"/>
      <c r="D8" s="62"/>
    </row>
    <row r="9" spans="2:4" ht="15.75">
      <c r="B9" s="69"/>
      <c r="C9" s="62"/>
      <c r="D9" s="62"/>
    </row>
    <row r="10" spans="2:4" ht="15.75">
      <c r="B10" s="139" t="s">
        <v>146</v>
      </c>
      <c r="C10" s="139"/>
      <c r="D10" s="139"/>
    </row>
    <row r="11" spans="2:4" ht="35.25" customHeight="1">
      <c r="B11" s="135" t="s">
        <v>147</v>
      </c>
      <c r="C11" s="135"/>
      <c r="D11" s="135"/>
    </row>
    <row r="12" spans="2:4" ht="15.75">
      <c r="B12" s="139" t="s">
        <v>159</v>
      </c>
      <c r="C12" s="139"/>
      <c r="D12" s="139"/>
    </row>
    <row r="13" spans="2:4" ht="15.75">
      <c r="B13" s="135"/>
      <c r="C13" s="135"/>
      <c r="D13" s="135"/>
    </row>
    <row r="14" spans="2:4">
      <c r="B14" s="70"/>
      <c r="C14" s="140"/>
      <c r="D14" s="140"/>
    </row>
    <row r="15" spans="2:4">
      <c r="C15" s="71"/>
      <c r="D15" s="71"/>
    </row>
    <row r="16" spans="2:4">
      <c r="B16" s="72" t="s">
        <v>148</v>
      </c>
      <c r="C16" s="136" t="s">
        <v>149</v>
      </c>
      <c r="D16" s="137"/>
    </row>
    <row r="17" spans="2:5" ht="24" customHeight="1">
      <c r="B17" s="73" t="s">
        <v>160</v>
      </c>
      <c r="C17" s="136">
        <f>1524*16</f>
        <v>24384</v>
      </c>
      <c r="D17" s="137"/>
    </row>
    <row r="18" spans="2:5" ht="30">
      <c r="B18" s="73" t="s">
        <v>161</v>
      </c>
      <c r="C18" s="136">
        <f>1524*16</f>
        <v>24384</v>
      </c>
      <c r="D18" s="137"/>
    </row>
    <row r="19" spans="2:5" ht="30">
      <c r="B19" s="73" t="s">
        <v>162</v>
      </c>
      <c r="C19" s="136">
        <f>1524*18</f>
        <v>27432</v>
      </c>
      <c r="D19" s="137"/>
    </row>
    <row r="20" spans="2:5" ht="30">
      <c r="B20" s="73" t="s">
        <v>163</v>
      </c>
      <c r="C20" s="136">
        <f>1524*18</f>
        <v>27432</v>
      </c>
      <c r="D20" s="137"/>
    </row>
    <row r="21" spans="2:5">
      <c r="B21" s="73" t="s">
        <v>164</v>
      </c>
      <c r="C21" s="136">
        <f>94*68</f>
        <v>6392</v>
      </c>
      <c r="D21" s="137"/>
    </row>
    <row r="22" spans="2:5">
      <c r="B22" s="73" t="s">
        <v>165</v>
      </c>
      <c r="C22" s="136">
        <f>94*72</f>
        <v>6768</v>
      </c>
      <c r="D22" s="137"/>
    </row>
    <row r="23" spans="2:5">
      <c r="B23" s="73" t="s">
        <v>166</v>
      </c>
      <c r="C23" s="136">
        <f>4*2151</f>
        <v>8604</v>
      </c>
      <c r="D23" s="137"/>
    </row>
    <row r="24" spans="2:5">
      <c r="B24" s="73" t="s">
        <v>150</v>
      </c>
      <c r="C24" s="136">
        <f>18000*2*1.25*1.25*13*1.15*1.302/1974*E24</f>
        <v>99838.962765957433</v>
      </c>
      <c r="D24" s="137"/>
      <c r="E24" s="68">
        <f>(16*2+18*2)*2+(68+72)*0.2+4*4</f>
        <v>180</v>
      </c>
    </row>
    <row r="25" spans="2:5">
      <c r="B25" s="73" t="s">
        <v>151</v>
      </c>
      <c r="C25" s="136">
        <f>SUM(C17:D24)*10%</f>
        <v>22523.496276595746</v>
      </c>
      <c r="D25" s="137"/>
    </row>
    <row r="26" spans="2:5" s="75" customFormat="1" ht="14.25">
      <c r="B26" s="74" t="s">
        <v>152</v>
      </c>
      <c r="C26" s="133">
        <f>(SUM(C17:D25))*1.18</f>
        <v>292354.98167021276</v>
      </c>
      <c r="D26" s="134"/>
    </row>
    <row r="27" spans="2:5">
      <c r="B27" s="76"/>
      <c r="C27" s="77"/>
    </row>
    <row r="28" spans="2:5">
      <c r="B28" s="76" t="s">
        <v>186</v>
      </c>
      <c r="C28" s="77"/>
    </row>
    <row r="29" spans="2:5">
      <c r="B29" s="78"/>
      <c r="C29" s="78"/>
    </row>
    <row r="30" spans="2:5" ht="15.75">
      <c r="B30" s="79" t="s">
        <v>136</v>
      </c>
      <c r="C30" s="135" t="s">
        <v>137</v>
      </c>
      <c r="D30" s="135"/>
    </row>
    <row r="34" spans="2:4" hidden="1"/>
    <row r="35" spans="2:4" hidden="1"/>
    <row r="36" spans="2:4" hidden="1">
      <c r="B36" s="80">
        <v>4100.26</v>
      </c>
    </row>
    <row r="37" spans="2:4" hidden="1">
      <c r="B37" s="80">
        <f>B36*1.18</f>
        <v>4838.3068000000003</v>
      </c>
    </row>
    <row r="38" spans="2:4" ht="30" hidden="1">
      <c r="B38" s="80">
        <v>806.38</v>
      </c>
      <c r="C38" s="68" t="s">
        <v>153</v>
      </c>
    </row>
    <row r="39" spans="2:4" ht="45" hidden="1">
      <c r="B39" s="80">
        <v>229363.8</v>
      </c>
      <c r="C39" s="68" t="s">
        <v>154</v>
      </c>
    </row>
    <row r="40" spans="2:4" ht="30" hidden="1">
      <c r="B40" s="80">
        <f>B39/B38</f>
        <v>284.43636994965152</v>
      </c>
      <c r="C40" s="68" t="s">
        <v>155</v>
      </c>
    </row>
    <row r="41" spans="2:4" ht="30" hidden="1">
      <c r="B41" s="80">
        <f>B40/6</f>
        <v>47.406061658275256</v>
      </c>
      <c r="C41" s="68" t="s">
        <v>156</v>
      </c>
    </row>
    <row r="42" spans="2:4" hidden="1"/>
    <row r="43" spans="2:4" hidden="1">
      <c r="B43" s="81" t="s">
        <v>157</v>
      </c>
      <c r="C43" s="82">
        <v>23429.1</v>
      </c>
      <c r="D43" s="71">
        <f>B41/C45*C43</f>
        <v>26.39558535392106</v>
      </c>
    </row>
    <row r="44" spans="2:4" hidden="1">
      <c r="B44" s="81" t="s">
        <v>158</v>
      </c>
      <c r="C44" s="82">
        <v>18649.2</v>
      </c>
      <c r="D44" s="71">
        <f>B41/C45*C44</f>
        <v>21.010476304354189</v>
      </c>
    </row>
    <row r="45" spans="2:4" hidden="1">
      <c r="C45" s="70">
        <f>C44+C43</f>
        <v>42078.3</v>
      </c>
      <c r="D45" s="82"/>
    </row>
    <row r="46" spans="2:4" hidden="1"/>
    <row r="47" spans="2:4" hidden="1"/>
  </sheetData>
  <mergeCells count="21">
    <mergeCell ref="C18:D18"/>
    <mergeCell ref="C1:D1"/>
    <mergeCell ref="B2:D2"/>
    <mergeCell ref="B4:D4"/>
    <mergeCell ref="B6:D6"/>
    <mergeCell ref="B10:D10"/>
    <mergeCell ref="B11:D11"/>
    <mergeCell ref="B12:D12"/>
    <mergeCell ref="B13:D13"/>
    <mergeCell ref="C14:D14"/>
    <mergeCell ref="C16:D16"/>
    <mergeCell ref="C17:D17"/>
    <mergeCell ref="C26:D26"/>
    <mergeCell ref="C30:D30"/>
    <mergeCell ref="C19:D19"/>
    <mergeCell ref="C20:D20"/>
    <mergeCell ref="C21:D21"/>
    <mergeCell ref="C22:D22"/>
    <mergeCell ref="C23:D23"/>
    <mergeCell ref="C24:D24"/>
    <mergeCell ref="C25:D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topLeftCell="A40" zoomScale="85" zoomScaleSheetLayoutView="85" workbookViewId="0">
      <selection activeCell="E61" sqref="E61"/>
    </sheetView>
  </sheetViews>
  <sheetFormatPr defaultRowHeight="15"/>
  <cols>
    <col min="1" max="1" width="7.28515625" style="1" customWidth="1"/>
    <col min="2" max="2" width="45.140625" style="64" customWidth="1"/>
    <col min="3" max="3" width="66" style="65" customWidth="1"/>
    <col min="4" max="4" width="17.7109375" style="59" customWidth="1"/>
    <col min="5" max="5" width="17.7109375" style="61" customWidth="1"/>
    <col min="6" max="6" width="11.42578125" style="3" bestFit="1" customWidth="1"/>
    <col min="7" max="8" width="9.140625" style="3"/>
    <col min="9" max="9" width="19" style="3" bestFit="1" customWidth="1"/>
    <col min="10" max="10" width="47.140625" style="3" customWidth="1"/>
    <col min="11" max="11" width="11.42578125" style="3" bestFit="1" customWidth="1"/>
    <col min="12" max="12" width="13.140625" style="3" bestFit="1" customWidth="1"/>
    <col min="13" max="16384" width="9.140625" style="3"/>
  </cols>
  <sheetData>
    <row r="1" spans="1:6" ht="57.75">
      <c r="C1" s="85" t="s">
        <v>185</v>
      </c>
    </row>
    <row r="2" spans="1:6">
      <c r="B2" s="2"/>
      <c r="C2" s="129" t="s">
        <v>0</v>
      </c>
      <c r="D2" s="129"/>
      <c r="E2" s="129"/>
    </row>
    <row r="3" spans="1:6">
      <c r="B3" s="2"/>
      <c r="C3" s="129" t="s">
        <v>1</v>
      </c>
      <c r="D3" s="129"/>
      <c r="E3" s="129"/>
    </row>
    <row r="4" spans="1:6" ht="88.5" customHeight="1">
      <c r="A4" s="130" t="s">
        <v>139</v>
      </c>
      <c r="B4" s="130"/>
      <c r="C4" s="130"/>
      <c r="D4" s="130"/>
      <c r="E4" s="131"/>
    </row>
    <row r="5" spans="1:6">
      <c r="A5" s="127" t="s">
        <v>2</v>
      </c>
      <c r="B5" s="119"/>
      <c r="C5" s="132" t="s">
        <v>3</v>
      </c>
      <c r="D5" s="132"/>
      <c r="E5" s="128"/>
    </row>
    <row r="6" spans="1:6">
      <c r="A6" s="127" t="s">
        <v>4</v>
      </c>
      <c r="B6" s="119"/>
      <c r="C6" s="123">
        <v>4</v>
      </c>
      <c r="D6" s="128"/>
      <c r="E6" s="128"/>
    </row>
    <row r="7" spans="1:6">
      <c r="A7" s="123" t="s">
        <v>5</v>
      </c>
      <c r="B7" s="119"/>
      <c r="C7" s="124">
        <f>C9+C8</f>
        <v>22125.599999999999</v>
      </c>
      <c r="D7" s="125"/>
      <c r="E7" s="126"/>
    </row>
    <row r="8" spans="1:6">
      <c r="A8" s="113" t="s">
        <v>6</v>
      </c>
      <c r="B8" s="114"/>
      <c r="C8" s="115">
        <v>20953.3</v>
      </c>
      <c r="D8" s="116"/>
      <c r="E8" s="117"/>
    </row>
    <row r="9" spans="1:6">
      <c r="A9" s="113" t="s">
        <v>7</v>
      </c>
      <c r="B9" s="114"/>
      <c r="C9" s="115">
        <v>1172.3</v>
      </c>
      <c r="D9" s="116"/>
      <c r="E9" s="117"/>
      <c r="F9" s="4"/>
    </row>
    <row r="10" spans="1:6">
      <c r="A10" s="113" t="s">
        <v>168</v>
      </c>
      <c r="B10" s="114"/>
      <c r="C10" s="115">
        <v>4297</v>
      </c>
      <c r="D10" s="116"/>
      <c r="E10" s="117"/>
      <c r="F10" s="4"/>
    </row>
    <row r="11" spans="1:6">
      <c r="A11" s="113" t="s">
        <v>8</v>
      </c>
      <c r="B11" s="114"/>
      <c r="C11" s="115">
        <v>11791.4</v>
      </c>
      <c r="D11" s="116"/>
      <c r="E11" s="117"/>
      <c r="F11" s="4"/>
    </row>
    <row r="12" spans="1:6" ht="60">
      <c r="A12" s="118" t="s">
        <v>9</v>
      </c>
      <c r="B12" s="119"/>
      <c r="C12" s="5" t="s">
        <v>10</v>
      </c>
      <c r="D12" s="6" t="s">
        <v>11</v>
      </c>
      <c r="E12" s="6" t="s">
        <v>12</v>
      </c>
    </row>
    <row r="13" spans="1:6">
      <c r="A13" s="120" t="s">
        <v>13</v>
      </c>
      <c r="B13" s="121"/>
      <c r="C13" s="121"/>
      <c r="D13" s="121"/>
      <c r="E13" s="122"/>
    </row>
    <row r="14" spans="1:6" ht="123.75">
      <c r="A14" s="7" t="s">
        <v>14</v>
      </c>
      <c r="B14" s="8" t="s">
        <v>15</v>
      </c>
      <c r="C14" s="9" t="s">
        <v>16</v>
      </c>
      <c r="D14" s="10">
        <f>((612072.2118504)*1.07*1.09)*1.05</f>
        <v>749552.81171517773</v>
      </c>
      <c r="E14" s="11">
        <f>D14/12/$C$7</f>
        <v>2.8230978734858327</v>
      </c>
    </row>
    <row r="15" spans="1:6" ht="104.25">
      <c r="A15" s="12" t="s">
        <v>17</v>
      </c>
      <c r="B15" s="13" t="s">
        <v>18</v>
      </c>
      <c r="C15" s="14" t="s">
        <v>19</v>
      </c>
      <c r="D15" s="15">
        <f>(470*26+220*39)*1.05</f>
        <v>21840</v>
      </c>
      <c r="E15" s="16">
        <f>D15/12/$C$7</f>
        <v>8.2257656289546954E-2</v>
      </c>
    </row>
    <row r="16" spans="1:6" ht="101.25">
      <c r="A16" s="7" t="s">
        <v>20</v>
      </c>
      <c r="B16" s="8" t="s">
        <v>21</v>
      </c>
      <c r="C16" s="9" t="s">
        <v>22</v>
      </c>
      <c r="D16" s="10">
        <f>(1.09*603610.3840368)*1.05</f>
        <v>690832.08453011769</v>
      </c>
      <c r="E16" s="11">
        <f t="shared" ref="E16:E58" si="0">D16/12/$C$7</f>
        <v>2.6019335239500765</v>
      </c>
    </row>
    <row r="17" spans="1:12" ht="30">
      <c r="A17" s="7" t="s">
        <v>23</v>
      </c>
      <c r="B17" s="8" t="s">
        <v>24</v>
      </c>
      <c r="C17" s="17" t="s">
        <v>25</v>
      </c>
      <c r="D17" s="18">
        <f>(1.09*350419.297551579)*1.05</f>
        <v>401054.8860477822</v>
      </c>
      <c r="E17" s="11">
        <f t="shared" si="0"/>
        <v>1.5105235792015517</v>
      </c>
      <c r="H17" s="141" t="s">
        <v>184</v>
      </c>
      <c r="I17" s="141"/>
      <c r="J17" s="141"/>
      <c r="K17" s="141"/>
      <c r="L17" s="141"/>
    </row>
    <row r="18" spans="1:12" ht="28.5">
      <c r="A18" s="19" t="s">
        <v>26</v>
      </c>
      <c r="B18" s="20" t="s">
        <v>27</v>
      </c>
      <c r="C18" s="21"/>
      <c r="D18" s="18">
        <v>735977.5726558509</v>
      </c>
      <c r="E18" s="11">
        <f t="shared" si="0"/>
        <v>2.7719684161327862</v>
      </c>
      <c r="H18" s="86">
        <f>(C10/2177.1)</f>
        <v>1.9737265169261864</v>
      </c>
      <c r="I18" s="87" t="s">
        <v>169</v>
      </c>
      <c r="J18" s="88" t="s">
        <v>170</v>
      </c>
      <c r="K18" s="89">
        <f>K24+K25</f>
        <v>61331.464387987573</v>
      </c>
      <c r="L18" s="89">
        <f>K18*12</f>
        <v>735977.5726558509</v>
      </c>
    </row>
    <row r="19" spans="1:12" ht="30">
      <c r="A19" s="7" t="s">
        <v>28</v>
      </c>
      <c r="B19" s="22" t="s">
        <v>29</v>
      </c>
      <c r="C19" s="23" t="s">
        <v>30</v>
      </c>
      <c r="D19" s="24">
        <v>655675.96945159184</v>
      </c>
      <c r="E19" s="16">
        <f t="shared" si="0"/>
        <v>2.4695223687025885</v>
      </c>
      <c r="H19" s="86">
        <f>H18*10000*1.25*1.25*1.15*13/12</f>
        <v>38420.848213602192</v>
      </c>
      <c r="I19" s="87" t="s">
        <v>171</v>
      </c>
      <c r="J19" s="90" t="s">
        <v>172</v>
      </c>
      <c r="K19" s="91">
        <f>H19</f>
        <v>38420.848213602192</v>
      </c>
      <c r="L19" s="89"/>
    </row>
    <row r="20" spans="1:12" ht="30">
      <c r="A20" s="7" t="s">
        <v>31</v>
      </c>
      <c r="B20" s="13" t="s">
        <v>32</v>
      </c>
      <c r="C20" s="25" t="s">
        <v>33</v>
      </c>
      <c r="D20" s="24">
        <v>67555.648364758759</v>
      </c>
      <c r="E20" s="16">
        <f t="shared" si="0"/>
        <v>0.25443998642883797</v>
      </c>
      <c r="H20" s="92"/>
      <c r="I20" s="92"/>
      <c r="J20" s="90" t="s">
        <v>173</v>
      </c>
      <c r="K20" s="91">
        <f>K19*30.2%</f>
        <v>11603.096160507861</v>
      </c>
      <c r="L20" s="89"/>
    </row>
    <row r="21" spans="1:12" ht="30">
      <c r="A21" s="7" t="s">
        <v>34</v>
      </c>
      <c r="B21" s="22" t="s">
        <v>35</v>
      </c>
      <c r="C21" s="23" t="s">
        <v>36</v>
      </c>
      <c r="D21" s="24">
        <v>1929.4542774488727</v>
      </c>
      <c r="E21" s="16">
        <f t="shared" si="0"/>
        <v>7.2670506767758955E-3</v>
      </c>
      <c r="H21" s="92"/>
      <c r="I21" s="92"/>
      <c r="J21" s="90" t="s">
        <v>174</v>
      </c>
      <c r="K21" s="91">
        <f>K19*10%</f>
        <v>3842.0848213602194</v>
      </c>
      <c r="L21" s="89"/>
    </row>
    <row r="22" spans="1:12" ht="75">
      <c r="A22" s="7" t="s">
        <v>37</v>
      </c>
      <c r="B22" s="13" t="s">
        <v>38</v>
      </c>
      <c r="C22" s="25" t="s">
        <v>39</v>
      </c>
      <c r="D22" s="26">
        <v>4402.8723925597924</v>
      </c>
      <c r="E22" s="16">
        <f t="shared" si="0"/>
        <v>1.6582873807413859E-2</v>
      </c>
      <c r="H22" s="92"/>
      <c r="I22" s="92"/>
      <c r="J22" s="90" t="s">
        <v>175</v>
      </c>
      <c r="K22" s="91">
        <f>SUM(K19:K21)*0.2%</f>
        <v>107.73205839094055</v>
      </c>
      <c r="L22" s="89"/>
    </row>
    <row r="23" spans="1:12" ht="45">
      <c r="A23" s="7" t="s">
        <v>40</v>
      </c>
      <c r="B23" s="13" t="s">
        <v>41</v>
      </c>
      <c r="C23" s="25" t="s">
        <v>42</v>
      </c>
      <c r="D23" s="26">
        <v>1228.1338660212109</v>
      </c>
      <c r="E23" s="16">
        <f t="shared" si="0"/>
        <v>4.6256141679819262E-3</v>
      </c>
      <c r="H23" s="92"/>
      <c r="I23" s="92"/>
      <c r="J23" s="90" t="s">
        <v>176</v>
      </c>
      <c r="K23" s="91">
        <f>SUM(K19:K22)*7.2%</f>
        <v>3886.1108102780081</v>
      </c>
      <c r="L23" s="89"/>
    </row>
    <row r="24" spans="1:12">
      <c r="A24" s="7" t="s">
        <v>43</v>
      </c>
      <c r="B24" s="13" t="s">
        <v>44</v>
      </c>
      <c r="C24" s="25" t="s">
        <v>45</v>
      </c>
      <c r="D24" s="26">
        <v>203.30802207150762</v>
      </c>
      <c r="E24" s="16">
        <f t="shared" si="0"/>
        <v>7.6573449635831969E-4</v>
      </c>
      <c r="H24" s="92"/>
      <c r="I24" s="92"/>
      <c r="J24" s="90" t="s">
        <v>177</v>
      </c>
      <c r="K24" s="91">
        <f>SUM(K19:K23)</f>
        <v>57859.872064139221</v>
      </c>
      <c r="L24" s="89"/>
    </row>
    <row r="25" spans="1:12">
      <c r="A25" s="7" t="s">
        <v>46</v>
      </c>
      <c r="B25" s="13" t="s">
        <v>47</v>
      </c>
      <c r="C25" s="25" t="s">
        <v>45</v>
      </c>
      <c r="D25" s="26">
        <v>3489.5964030408531</v>
      </c>
      <c r="E25" s="16">
        <f t="shared" si="0"/>
        <v>1.3143132853048254E-2</v>
      </c>
      <c r="F25" s="27"/>
      <c r="H25" s="92"/>
      <c r="I25" s="92"/>
      <c r="J25" s="90" t="s">
        <v>178</v>
      </c>
      <c r="K25" s="91">
        <f>K24*6%</f>
        <v>3471.5923238483533</v>
      </c>
      <c r="L25" s="89"/>
    </row>
    <row r="26" spans="1:12">
      <c r="A26" s="7" t="s">
        <v>48</v>
      </c>
      <c r="B26" s="13" t="s">
        <v>49</v>
      </c>
      <c r="C26" s="25" t="s">
        <v>50</v>
      </c>
      <c r="D26" s="26">
        <v>1492.589878358041</v>
      </c>
      <c r="E26" s="16">
        <f t="shared" si="0"/>
        <v>5.6216549997817047E-3</v>
      </c>
      <c r="H26" s="92"/>
      <c r="I26" s="92"/>
      <c r="J26" s="92"/>
      <c r="K26" s="92"/>
      <c r="L26" s="93"/>
    </row>
    <row r="27" spans="1:12" ht="28.5">
      <c r="A27" s="7" t="s">
        <v>51</v>
      </c>
      <c r="B27" s="8" t="s">
        <v>52</v>
      </c>
      <c r="C27" s="28"/>
      <c r="D27" s="18">
        <v>1792455.1454989007</v>
      </c>
      <c r="E27" s="11">
        <f t="shared" si="0"/>
        <v>6.7510604062673281</v>
      </c>
      <c r="H27" s="86">
        <f>(C11/3801.6)</f>
        <v>3.1016940235690234</v>
      </c>
      <c r="I27" s="87" t="s">
        <v>169</v>
      </c>
      <c r="J27" s="88" t="s">
        <v>179</v>
      </c>
      <c r="K27" s="89">
        <f>K35+K36</f>
        <v>149371.26212490839</v>
      </c>
      <c r="L27" s="89">
        <f>K27*12</f>
        <v>1792455.1454989007</v>
      </c>
    </row>
    <row r="28" spans="1:12">
      <c r="A28" s="7" t="s">
        <v>53</v>
      </c>
      <c r="B28" s="29" t="s">
        <v>54</v>
      </c>
      <c r="C28" s="30"/>
      <c r="D28" s="26">
        <v>880610.32135774591</v>
      </c>
      <c r="E28" s="16">
        <f t="shared" si="0"/>
        <v>3.3167097591242194</v>
      </c>
      <c r="H28" s="86">
        <f>H27*14000*1.25*1.25*1.15*13/12</f>
        <v>84529.239470442248</v>
      </c>
      <c r="I28" s="87" t="s">
        <v>180</v>
      </c>
      <c r="J28" s="90" t="s">
        <v>172</v>
      </c>
      <c r="K28" s="91">
        <f>H28</f>
        <v>84529.239470442248</v>
      </c>
      <c r="L28" s="89"/>
    </row>
    <row r="29" spans="1:12" ht="30">
      <c r="A29" s="7" t="s">
        <v>55</v>
      </c>
      <c r="B29" s="13" t="s">
        <v>56</v>
      </c>
      <c r="C29" s="31" t="s">
        <v>57</v>
      </c>
      <c r="D29" s="26">
        <v>361745.38956022065</v>
      </c>
      <c r="E29" s="16">
        <f t="shared" si="0"/>
        <v>1.3624692270500411</v>
      </c>
      <c r="H29" s="92"/>
      <c r="I29" s="92"/>
      <c r="J29" s="90" t="s">
        <v>173</v>
      </c>
      <c r="K29" s="91">
        <f>K28*30.2%</f>
        <v>25527.830320073557</v>
      </c>
      <c r="L29" s="89"/>
    </row>
    <row r="30" spans="1:12" ht="30">
      <c r="A30" s="7" t="s">
        <v>58</v>
      </c>
      <c r="B30" s="13" t="s">
        <v>59</v>
      </c>
      <c r="C30" s="31" t="s">
        <v>60</v>
      </c>
      <c r="D30" s="26">
        <v>469336.89731457148</v>
      </c>
      <c r="E30" s="16">
        <f t="shared" si="0"/>
        <v>1.7676993215798724</v>
      </c>
      <c r="H30" s="92"/>
      <c r="I30" s="92"/>
      <c r="J30" s="90" t="s">
        <v>174</v>
      </c>
      <c r="K30" s="91">
        <f>K28*10%</f>
        <v>8452.9239470442244</v>
      </c>
      <c r="L30" s="89"/>
    </row>
    <row r="31" spans="1:12">
      <c r="A31" s="7" t="s">
        <v>61</v>
      </c>
      <c r="B31" s="13" t="s">
        <v>62</v>
      </c>
      <c r="C31" s="31" t="s">
        <v>63</v>
      </c>
      <c r="D31" s="26">
        <v>37565.871173563064</v>
      </c>
      <c r="E31" s="16">
        <f t="shared" si="0"/>
        <v>0.14148720326063877</v>
      </c>
      <c r="H31" s="92"/>
      <c r="I31" s="92"/>
      <c r="J31" s="90" t="s">
        <v>181</v>
      </c>
      <c r="K31" s="91">
        <f>K28*10%</f>
        <v>8452.9239470442244</v>
      </c>
      <c r="L31" s="89">
        <f>K31*12</f>
        <v>101435.08736453069</v>
      </c>
    </row>
    <row r="32" spans="1:12" ht="30">
      <c r="A32" s="7" t="s">
        <v>64</v>
      </c>
      <c r="B32" s="13" t="s">
        <v>65</v>
      </c>
      <c r="C32" s="31" t="s">
        <v>50</v>
      </c>
      <c r="D32" s="26">
        <v>2241.3369948145105</v>
      </c>
      <c r="E32" s="16">
        <f t="shared" si="0"/>
        <v>8.4417183218176792E-3</v>
      </c>
      <c r="H32" s="92"/>
      <c r="I32" s="92"/>
      <c r="J32" s="90" t="s">
        <v>182</v>
      </c>
      <c r="K32" s="91">
        <f>K28*5%</f>
        <v>4226.4619735221122</v>
      </c>
      <c r="L32" s="89"/>
    </row>
    <row r="33" spans="1:12" ht="30">
      <c r="A33" s="7" t="s">
        <v>66</v>
      </c>
      <c r="B33" s="13" t="s">
        <v>67</v>
      </c>
      <c r="C33" s="31" t="s">
        <v>68</v>
      </c>
      <c r="D33" s="26">
        <v>1894.053840673334</v>
      </c>
      <c r="E33" s="16">
        <f t="shared" si="0"/>
        <v>7.1337193141027214E-3</v>
      </c>
      <c r="H33" s="92"/>
      <c r="I33" s="92"/>
      <c r="J33" s="90" t="s">
        <v>175</v>
      </c>
      <c r="K33" s="91">
        <f>SUM(K28:K32)*0.2%</f>
        <v>262.37875931625274</v>
      </c>
      <c r="L33" s="89"/>
    </row>
    <row r="34" spans="1:12">
      <c r="A34" s="7" t="s">
        <v>69</v>
      </c>
      <c r="B34" s="13" t="s">
        <v>70</v>
      </c>
      <c r="C34" s="31" t="s">
        <v>71</v>
      </c>
      <c r="D34" s="26">
        <v>5682.2320220512929</v>
      </c>
      <c r="E34" s="16">
        <f t="shared" si="0"/>
        <v>2.1401423471948382E-2</v>
      </c>
      <c r="H34" s="92"/>
      <c r="I34" s="92"/>
      <c r="J34" s="90" t="s">
        <v>183</v>
      </c>
      <c r="K34" s="91">
        <f>SUM(K28:K33)*7.2%</f>
        <v>9464.5266060558697</v>
      </c>
      <c r="L34" s="89"/>
    </row>
    <row r="35" spans="1:12" ht="30">
      <c r="A35" s="7" t="s">
        <v>72</v>
      </c>
      <c r="B35" s="13" t="s">
        <v>73</v>
      </c>
      <c r="C35" s="31" t="s">
        <v>74</v>
      </c>
      <c r="D35" s="26">
        <v>2088.563427006161</v>
      </c>
      <c r="E35" s="16">
        <f t="shared" si="0"/>
        <v>7.8663155914647925E-3</v>
      </c>
      <c r="H35" s="92"/>
      <c r="I35" s="92"/>
      <c r="J35" s="90" t="s">
        <v>177</v>
      </c>
      <c r="K35" s="91">
        <f>SUM(K28:K34)</f>
        <v>140916.28502349849</v>
      </c>
      <c r="L35" s="89"/>
    </row>
    <row r="36" spans="1:12">
      <c r="A36" s="7" t="s">
        <v>75</v>
      </c>
      <c r="B36" s="13" t="s">
        <v>76</v>
      </c>
      <c r="C36" s="31" t="s">
        <v>77</v>
      </c>
      <c r="D36" s="26">
        <v>55.97702484532968</v>
      </c>
      <c r="E36" s="16">
        <f t="shared" si="0"/>
        <v>2.1083053433326737E-4</v>
      </c>
      <c r="H36" s="92"/>
      <c r="I36" s="92"/>
      <c r="J36" s="90" t="s">
        <v>178</v>
      </c>
      <c r="K36" s="91">
        <f>K35*6%</f>
        <v>8454.9771014099097</v>
      </c>
      <c r="L36" s="89"/>
    </row>
    <row r="37" spans="1:12">
      <c r="A37" s="7" t="s">
        <v>78</v>
      </c>
      <c r="B37" s="29" t="s">
        <v>79</v>
      </c>
      <c r="C37" s="32"/>
      <c r="D37" s="26">
        <v>911844.82414115453</v>
      </c>
      <c r="E37" s="16">
        <f t="shared" si="0"/>
        <v>3.4343506471431078</v>
      </c>
    </row>
    <row r="38" spans="1:12" ht="30">
      <c r="A38" s="7" t="s">
        <v>80</v>
      </c>
      <c r="B38" s="13" t="s">
        <v>81</v>
      </c>
      <c r="C38" s="31" t="s">
        <v>82</v>
      </c>
      <c r="D38" s="26">
        <v>407858.43617666716</v>
      </c>
      <c r="E38" s="16">
        <f t="shared" si="0"/>
        <v>1.5361483085078942</v>
      </c>
      <c r="F38" s="4"/>
    </row>
    <row r="39" spans="1:12" ht="30">
      <c r="A39" s="7" t="s">
        <v>83</v>
      </c>
      <c r="B39" s="13" t="s">
        <v>84</v>
      </c>
      <c r="C39" s="31" t="s">
        <v>85</v>
      </c>
      <c r="D39" s="26">
        <v>31782.589976095256</v>
      </c>
      <c r="E39" s="16">
        <f t="shared" si="0"/>
        <v>0.11970519057899467</v>
      </c>
    </row>
    <row r="40" spans="1:12">
      <c r="A40" s="7" t="s">
        <v>86</v>
      </c>
      <c r="B40" s="13" t="s">
        <v>87</v>
      </c>
      <c r="C40" s="31" t="s">
        <v>88</v>
      </c>
      <c r="D40" s="26">
        <v>364948.49612067943</v>
      </c>
      <c r="E40" s="16">
        <f t="shared" si="0"/>
        <v>1.3745333313773767</v>
      </c>
    </row>
    <row r="41" spans="1:12" ht="30">
      <c r="A41" s="7" t="s">
        <v>89</v>
      </c>
      <c r="B41" s="13" t="s">
        <v>90</v>
      </c>
      <c r="C41" s="31" t="s">
        <v>91</v>
      </c>
      <c r="D41" s="26">
        <v>231.6166897617739</v>
      </c>
      <c r="E41" s="16">
        <f t="shared" si="0"/>
        <v>8.7235558870634746E-4</v>
      </c>
    </row>
    <row r="42" spans="1:12">
      <c r="A42" s="7" t="s">
        <v>92</v>
      </c>
      <c r="B42" s="13" t="s">
        <v>93</v>
      </c>
      <c r="C42" s="33" t="s">
        <v>71</v>
      </c>
      <c r="D42" s="26">
        <v>2762.6540602644172</v>
      </c>
      <c r="E42" s="16">
        <f t="shared" si="0"/>
        <v>1.0405194511728562E-2</v>
      </c>
    </row>
    <row r="43" spans="1:12">
      <c r="A43" s="7" t="s">
        <v>94</v>
      </c>
      <c r="B43" s="13" t="s">
        <v>95</v>
      </c>
      <c r="C43" s="33" t="s">
        <v>42</v>
      </c>
      <c r="D43" s="26">
        <v>2763.5188883660394</v>
      </c>
      <c r="E43" s="16">
        <f t="shared" si="0"/>
        <v>1.0408451779710831E-2</v>
      </c>
      <c r="F43" s="27"/>
    </row>
    <row r="44" spans="1:12">
      <c r="A44" s="7" t="s">
        <v>96</v>
      </c>
      <c r="B44" s="13" t="s">
        <v>76</v>
      </c>
      <c r="C44" s="33" t="s">
        <v>77</v>
      </c>
      <c r="D44" s="26">
        <v>62.424864789833158</v>
      </c>
      <c r="E44" s="16">
        <f t="shared" si="0"/>
        <v>2.3511552526572977E-4</v>
      </c>
    </row>
    <row r="45" spans="1:12" s="37" customFormat="1">
      <c r="A45" s="19" t="s">
        <v>97</v>
      </c>
      <c r="B45" s="34" t="s">
        <v>98</v>
      </c>
      <c r="C45" s="35" t="s">
        <v>99</v>
      </c>
      <c r="D45" s="26">
        <v>101435.08736453069</v>
      </c>
      <c r="E45" s="16">
        <f t="shared" si="0"/>
        <v>0.38204269927343099</v>
      </c>
      <c r="F45" s="36"/>
    </row>
    <row r="46" spans="1:12" ht="42.75">
      <c r="A46" s="7" t="s">
        <v>100</v>
      </c>
      <c r="B46" s="38" t="s">
        <v>101</v>
      </c>
      <c r="C46" s="39" t="s">
        <v>102</v>
      </c>
      <c r="D46" s="18">
        <f>(1.09*176738.166)*1.05</f>
        <v>202276.83098700002</v>
      </c>
      <c r="E46" s="11">
        <f t="shared" si="0"/>
        <v>0.76185064279612769</v>
      </c>
    </row>
    <row r="47" spans="1:12" ht="28.5">
      <c r="A47" s="7" t="s">
        <v>103</v>
      </c>
      <c r="B47" s="8" t="s">
        <v>104</v>
      </c>
      <c r="C47" s="40" t="s">
        <v>105</v>
      </c>
      <c r="D47" s="18">
        <f>(1.09*403862.776416)*1.05</f>
        <v>462220.94760811201</v>
      </c>
      <c r="E47" s="11">
        <f t="shared" si="0"/>
        <v>1.7408979779384965</v>
      </c>
    </row>
    <row r="48" spans="1:12" ht="28.5">
      <c r="A48" s="7" t="s">
        <v>106</v>
      </c>
      <c r="B48" s="8" t="s">
        <v>107</v>
      </c>
      <c r="C48" s="40" t="s">
        <v>108</v>
      </c>
      <c r="D48" s="18">
        <f>(1.09*279567.6444)*1.05</f>
        <v>319965.1690158</v>
      </c>
      <c r="E48" s="11">
        <f t="shared" si="0"/>
        <v>1.2051091986047837</v>
      </c>
    </row>
    <row r="49" spans="1:6">
      <c r="A49" s="7" t="s">
        <v>109</v>
      </c>
      <c r="B49" s="8" t="s">
        <v>110</v>
      </c>
      <c r="C49" s="40" t="s">
        <v>111</v>
      </c>
      <c r="D49" s="18">
        <f>(1.09*21377.5062590628)*1.05</f>
        <v>24466.555913497377</v>
      </c>
      <c r="E49" s="11">
        <f t="shared" si="0"/>
        <v>9.2150253979919855E-2</v>
      </c>
    </row>
    <row r="50" spans="1:6">
      <c r="A50" s="7" t="s">
        <v>112</v>
      </c>
      <c r="B50" s="8" t="s">
        <v>113</v>
      </c>
      <c r="C50" s="40" t="s">
        <v>114</v>
      </c>
      <c r="D50" s="18">
        <f>(1.09*678031.8732)*1.05</f>
        <v>776007.47887740016</v>
      </c>
      <c r="E50" s="11">
        <f t="shared" si="0"/>
        <v>2.9227361023633267</v>
      </c>
    </row>
    <row r="51" spans="1:6" ht="30">
      <c r="A51" s="7" t="s">
        <v>115</v>
      </c>
      <c r="B51" s="8" t="s">
        <v>116</v>
      </c>
      <c r="C51" s="40" t="s">
        <v>117</v>
      </c>
      <c r="D51" s="18">
        <f>(1.18*12*5482*1.09)*1.05</f>
        <v>88841.949840000001</v>
      </c>
      <c r="E51" s="11">
        <f t="shared" si="0"/>
        <v>0.33461220577069101</v>
      </c>
    </row>
    <row r="52" spans="1:6" ht="30">
      <c r="A52" s="7" t="s">
        <v>118</v>
      </c>
      <c r="B52" s="8" t="s">
        <v>119</v>
      </c>
      <c r="C52" s="40" t="s">
        <v>117</v>
      </c>
      <c r="D52" s="18">
        <f>(12*3743*1.18*1.09)*1.05</f>
        <v>60659.507160000008</v>
      </c>
      <c r="E52" s="11">
        <f t="shared" si="0"/>
        <v>0.22846652429764622</v>
      </c>
    </row>
    <row r="53" spans="1:6" ht="28.5">
      <c r="A53" s="7" t="s">
        <v>120</v>
      </c>
      <c r="B53" s="8" t="s">
        <v>121</v>
      </c>
      <c r="C53" s="40" t="s">
        <v>114</v>
      </c>
      <c r="D53" s="18">
        <f>(1.07*581367.6/1.18*1.09)*1.05</f>
        <v>603348.71480847476</v>
      </c>
      <c r="E53" s="11">
        <f t="shared" si="0"/>
        <v>2.2724382420080316</v>
      </c>
    </row>
    <row r="54" spans="1:6" ht="42.75" hidden="1">
      <c r="A54" s="41" t="s">
        <v>122</v>
      </c>
      <c r="B54" s="8" t="s">
        <v>123</v>
      </c>
      <c r="C54" s="40"/>
      <c r="D54" s="18">
        <f>7000*10*0</f>
        <v>0</v>
      </c>
      <c r="E54" s="11">
        <f t="shared" si="0"/>
        <v>0</v>
      </c>
    </row>
    <row r="55" spans="1:6" ht="30" hidden="1">
      <c r="A55" s="7" t="s">
        <v>124</v>
      </c>
      <c r="B55" s="8" t="s">
        <v>125</v>
      </c>
      <c r="C55" s="40" t="s">
        <v>126</v>
      </c>
      <c r="D55" s="18">
        <f>9440*C6*1.1*1.18*0</f>
        <v>0</v>
      </c>
      <c r="E55" s="11">
        <f t="shared" si="0"/>
        <v>0</v>
      </c>
    </row>
    <row r="56" spans="1:6">
      <c r="A56" s="102"/>
      <c r="B56" s="66" t="s">
        <v>140</v>
      </c>
      <c r="C56" s="67" t="s">
        <v>141</v>
      </c>
      <c r="D56" s="83">
        <f>энергосбер78!C26</f>
        <v>292354.98167021276</v>
      </c>
      <c r="E56" s="84">
        <f t="shared" si="0"/>
        <v>1.1011188460057308</v>
      </c>
    </row>
    <row r="57" spans="1:6">
      <c r="A57" s="42"/>
      <c r="B57" s="8" t="s">
        <v>127</v>
      </c>
      <c r="C57" s="28"/>
      <c r="D57" s="43">
        <f>D14+D16+D17+D18+D27+D46+D47+D48+D49+D50+D51+D52+D53+D54+D55+D56</f>
        <v>7200014.6363283256</v>
      </c>
      <c r="E57" s="43">
        <f t="shared" si="0"/>
        <v>27.117963792802325</v>
      </c>
      <c r="F57" s="27"/>
    </row>
    <row r="58" spans="1:6" ht="112.5">
      <c r="A58" s="19"/>
      <c r="B58" s="8" t="s">
        <v>128</v>
      </c>
      <c r="C58" s="44" t="s">
        <v>129</v>
      </c>
      <c r="D58" s="43">
        <f>D57*20%</f>
        <v>1440002.9272656653</v>
      </c>
      <c r="E58" s="43">
        <f t="shared" si="0"/>
        <v>5.4235927585604662</v>
      </c>
    </row>
    <row r="59" spans="1:6" ht="29.25" customHeight="1">
      <c r="A59" s="42"/>
      <c r="B59" s="8" t="s">
        <v>130</v>
      </c>
      <c r="C59" s="28"/>
      <c r="D59" s="43">
        <f>D58+D57</f>
        <v>8640017.5635939911</v>
      </c>
      <c r="E59" s="43">
        <f>D59/12/$C$7</f>
        <v>32.541556551362795</v>
      </c>
      <c r="F59" s="27"/>
    </row>
    <row r="60" spans="1:6">
      <c r="A60" s="109" t="s">
        <v>131</v>
      </c>
      <c r="B60" s="110"/>
      <c r="C60" s="110"/>
      <c r="D60" s="110"/>
      <c r="E60" s="111"/>
      <c r="F60" s="27"/>
    </row>
    <row r="61" spans="1:6" ht="28.5">
      <c r="A61" s="19" t="s">
        <v>14</v>
      </c>
      <c r="B61" s="8" t="s">
        <v>132</v>
      </c>
      <c r="C61" s="45"/>
      <c r="D61" s="18">
        <f>E61*12*C7</f>
        <v>139391.28</v>
      </c>
      <c r="E61" s="11">
        <f>1.05*0.5</f>
        <v>0.52500000000000002</v>
      </c>
    </row>
    <row r="62" spans="1:6">
      <c r="A62" s="46"/>
      <c r="B62" s="2"/>
      <c r="C62" s="47"/>
      <c r="D62" s="48"/>
      <c r="E62" s="49"/>
    </row>
    <row r="63" spans="1:6" hidden="1">
      <c r="A63" s="46"/>
      <c r="B63" s="2"/>
      <c r="C63" s="50">
        <v>2017</v>
      </c>
      <c r="D63" s="50">
        <v>2016</v>
      </c>
      <c r="E63" s="50" t="s">
        <v>133</v>
      </c>
    </row>
    <row r="64" spans="1:6" hidden="1">
      <c r="A64" s="46"/>
      <c r="B64" s="2"/>
      <c r="C64" s="51">
        <f>E58+E57</f>
        <v>32.541556551362788</v>
      </c>
      <c r="D64" s="51">
        <v>24.06</v>
      </c>
      <c r="E64" s="52">
        <f>C64/D64-100%</f>
        <v>0.35251689739662462</v>
      </c>
    </row>
    <row r="65" spans="1:11">
      <c r="A65" s="46"/>
      <c r="B65" s="2"/>
      <c r="C65" s="47"/>
      <c r="D65" s="48"/>
      <c r="E65" s="49"/>
    </row>
    <row r="66" spans="1:11">
      <c r="A66" s="53"/>
      <c r="B66" s="54"/>
      <c r="C66" s="55"/>
      <c r="D66" s="56"/>
      <c r="E66" s="56"/>
    </row>
    <row r="67" spans="1:11">
      <c r="B67" s="57" t="s">
        <v>134</v>
      </c>
      <c r="C67" s="58"/>
      <c r="D67" s="3"/>
      <c r="E67" s="59" t="s">
        <v>135</v>
      </c>
    </row>
    <row r="68" spans="1:11">
      <c r="B68" s="57"/>
      <c r="C68" s="58"/>
      <c r="D68" s="3"/>
      <c r="E68" s="59"/>
    </row>
    <row r="69" spans="1:11">
      <c r="B69" s="57" t="s">
        <v>136</v>
      </c>
      <c r="C69" s="58"/>
      <c r="D69" s="3"/>
      <c r="E69" s="59" t="s">
        <v>137</v>
      </c>
    </row>
    <row r="70" spans="1:11">
      <c r="B70" s="60"/>
      <c r="C70" s="58"/>
    </row>
    <row r="71" spans="1:11" ht="63" customHeight="1">
      <c r="A71" s="112" t="s">
        <v>138</v>
      </c>
      <c r="B71" s="112"/>
      <c r="C71" s="112"/>
      <c r="D71" s="112"/>
      <c r="E71" s="112"/>
      <c r="F71" s="62"/>
      <c r="G71" s="62"/>
      <c r="H71" s="62"/>
      <c r="I71" s="62"/>
      <c r="J71" s="62"/>
      <c r="K71" s="62"/>
    </row>
    <row r="72" spans="1:11">
      <c r="A72" s="62"/>
      <c r="B72" s="63"/>
      <c r="C72" s="62"/>
      <c r="D72" s="62"/>
      <c r="E72" s="62"/>
      <c r="F72" s="62"/>
      <c r="G72" s="62"/>
      <c r="H72" s="62"/>
      <c r="I72" s="62"/>
      <c r="J72" s="62"/>
      <c r="K72" s="62"/>
    </row>
    <row r="73" spans="1:11">
      <c r="B73" s="60"/>
      <c r="C73" s="58"/>
    </row>
    <row r="74" spans="1:11">
      <c r="B74" s="60"/>
      <c r="C74" s="58"/>
    </row>
    <row r="75" spans="1:11">
      <c r="B75" s="60"/>
      <c r="C75" s="58"/>
    </row>
    <row r="76" spans="1:11">
      <c r="B76" s="60"/>
      <c r="C76" s="58"/>
    </row>
    <row r="77" spans="1:11">
      <c r="B77" s="60"/>
      <c r="C77" s="58"/>
    </row>
    <row r="78" spans="1:11">
      <c r="B78" s="60"/>
      <c r="C78" s="58"/>
    </row>
    <row r="79" spans="1:11">
      <c r="B79" s="60"/>
      <c r="C79" s="58"/>
    </row>
    <row r="80" spans="1:11">
      <c r="B80" s="60"/>
      <c r="C80" s="58"/>
    </row>
    <row r="81" spans="1:13">
      <c r="B81" s="60"/>
      <c r="C81" s="58"/>
    </row>
    <row r="82" spans="1:13">
      <c r="B82" s="60"/>
      <c r="C82" s="58"/>
    </row>
    <row r="83" spans="1:13">
      <c r="B83" s="60"/>
      <c r="C83" s="58"/>
    </row>
    <row r="84" spans="1:13">
      <c r="B84" s="60"/>
      <c r="C84" s="58"/>
    </row>
    <row r="85" spans="1:13">
      <c r="B85" s="60"/>
      <c r="C85" s="58"/>
    </row>
    <row r="86" spans="1:13">
      <c r="B86" s="60"/>
      <c r="C86" s="58"/>
    </row>
    <row r="87" spans="1:13" s="59" customFormat="1">
      <c r="A87" s="1"/>
      <c r="B87" s="60"/>
      <c r="C87" s="58"/>
      <c r="E87" s="61"/>
      <c r="F87" s="3"/>
      <c r="G87" s="3"/>
      <c r="H87" s="3"/>
      <c r="I87" s="3"/>
      <c r="J87" s="3"/>
      <c r="K87" s="3"/>
      <c r="L87" s="3"/>
      <c r="M87" s="3"/>
    </row>
    <row r="88" spans="1:13" s="59" customFormat="1">
      <c r="A88" s="1"/>
      <c r="B88" s="60"/>
      <c r="C88" s="58"/>
      <c r="E88" s="61"/>
      <c r="F88" s="3"/>
      <c r="G88" s="3"/>
      <c r="H88" s="3"/>
      <c r="I88" s="3"/>
      <c r="J88" s="3"/>
      <c r="K88" s="3"/>
      <c r="L88" s="3"/>
      <c r="M88" s="3"/>
    </row>
    <row r="89" spans="1:13" s="59" customFormat="1">
      <c r="A89" s="1"/>
      <c r="B89" s="60"/>
      <c r="C89" s="58"/>
      <c r="E89" s="61"/>
      <c r="F89" s="3"/>
      <c r="G89" s="3"/>
      <c r="H89" s="3"/>
      <c r="I89" s="3"/>
      <c r="J89" s="3"/>
      <c r="K89" s="3"/>
      <c r="L89" s="3"/>
      <c r="M89" s="3"/>
    </row>
    <row r="90" spans="1:13" s="59" customFormat="1">
      <c r="A90" s="1"/>
      <c r="B90" s="60"/>
      <c r="C90" s="58"/>
      <c r="E90" s="61"/>
      <c r="F90" s="3"/>
      <c r="G90" s="3"/>
      <c r="H90" s="3"/>
      <c r="I90" s="3"/>
      <c r="J90" s="3"/>
      <c r="K90" s="3"/>
      <c r="L90" s="3"/>
      <c r="M90" s="3"/>
    </row>
    <row r="91" spans="1:13" s="59" customFormat="1">
      <c r="A91" s="1"/>
      <c r="B91" s="60"/>
      <c r="C91" s="58"/>
      <c r="E91" s="61"/>
      <c r="F91" s="3"/>
      <c r="G91" s="3"/>
      <c r="H91" s="3"/>
      <c r="I91" s="3"/>
      <c r="J91" s="3"/>
      <c r="K91" s="3"/>
      <c r="L91" s="3"/>
      <c r="M91" s="3"/>
    </row>
    <row r="92" spans="1:13" s="59" customFormat="1">
      <c r="A92" s="1"/>
      <c r="B92" s="60"/>
      <c r="C92" s="58"/>
      <c r="E92" s="61"/>
      <c r="F92" s="3"/>
      <c r="G92" s="3"/>
      <c r="H92" s="3"/>
      <c r="I92" s="3"/>
      <c r="J92" s="3"/>
      <c r="K92" s="3"/>
      <c r="L92" s="3"/>
      <c r="M92" s="3"/>
    </row>
    <row r="93" spans="1:13" s="59" customFormat="1">
      <c r="A93" s="1"/>
      <c r="B93" s="60"/>
      <c r="C93" s="58"/>
      <c r="E93" s="61"/>
      <c r="F93" s="3"/>
      <c r="G93" s="3"/>
      <c r="H93" s="3"/>
      <c r="I93" s="3"/>
      <c r="J93" s="3"/>
      <c r="K93" s="3"/>
      <c r="L93" s="3"/>
      <c r="M93" s="3"/>
    </row>
    <row r="94" spans="1:13" s="59" customFormat="1">
      <c r="A94" s="1"/>
      <c r="B94" s="60"/>
      <c r="C94" s="58"/>
      <c r="E94" s="61"/>
      <c r="F94" s="3"/>
      <c r="G94" s="3"/>
      <c r="H94" s="3"/>
      <c r="I94" s="3"/>
      <c r="J94" s="3"/>
      <c r="K94" s="3"/>
      <c r="L94" s="3"/>
      <c r="M94" s="3"/>
    </row>
    <row r="95" spans="1:13" s="59" customFormat="1">
      <c r="A95" s="1"/>
      <c r="B95" s="60"/>
      <c r="C95" s="58"/>
      <c r="E95" s="61"/>
      <c r="F95" s="3"/>
      <c r="G95" s="3"/>
      <c r="H95" s="3"/>
      <c r="I95" s="3"/>
      <c r="J95" s="3"/>
      <c r="K95" s="3"/>
      <c r="L95" s="3"/>
      <c r="M95" s="3"/>
    </row>
    <row r="96" spans="1:13" s="59" customFormat="1">
      <c r="A96" s="1"/>
      <c r="B96" s="60"/>
      <c r="C96" s="58"/>
      <c r="E96" s="61"/>
      <c r="F96" s="3"/>
      <c r="G96" s="3"/>
      <c r="H96" s="3"/>
      <c r="I96" s="3"/>
      <c r="J96" s="3"/>
      <c r="K96" s="3"/>
      <c r="L96" s="3"/>
      <c r="M96" s="3"/>
    </row>
    <row r="97" spans="1:13" s="59" customFormat="1">
      <c r="A97" s="1"/>
      <c r="B97" s="60"/>
      <c r="C97" s="58"/>
      <c r="E97" s="61"/>
      <c r="F97" s="3"/>
      <c r="G97" s="3"/>
      <c r="H97" s="3"/>
      <c r="I97" s="3"/>
      <c r="J97" s="3"/>
      <c r="K97" s="3"/>
      <c r="L97" s="3"/>
      <c r="M97" s="3"/>
    </row>
    <row r="98" spans="1:13" s="59" customFormat="1">
      <c r="A98" s="1"/>
      <c r="B98" s="60"/>
      <c r="C98" s="58"/>
      <c r="E98" s="61"/>
      <c r="F98" s="3"/>
      <c r="G98" s="3"/>
      <c r="H98" s="3"/>
      <c r="I98" s="3"/>
      <c r="J98" s="3"/>
      <c r="K98" s="3"/>
      <c r="L98" s="3"/>
      <c r="M98" s="3"/>
    </row>
    <row r="99" spans="1:13" s="59" customFormat="1">
      <c r="A99" s="1"/>
      <c r="B99" s="60"/>
      <c r="C99" s="58"/>
      <c r="E99" s="61"/>
      <c r="F99" s="3"/>
      <c r="G99" s="3"/>
      <c r="H99" s="3"/>
      <c r="I99" s="3"/>
      <c r="J99" s="3"/>
      <c r="K99" s="3"/>
      <c r="L99" s="3"/>
      <c r="M99" s="3"/>
    </row>
    <row r="100" spans="1:13" s="59" customFormat="1">
      <c r="A100" s="1"/>
      <c r="B100" s="60"/>
      <c r="C100" s="58"/>
      <c r="E100" s="61"/>
      <c r="F100" s="3"/>
      <c r="G100" s="3"/>
      <c r="H100" s="3"/>
      <c r="I100" s="3"/>
      <c r="J100" s="3"/>
      <c r="K100" s="3"/>
      <c r="L100" s="3"/>
      <c r="M100" s="3"/>
    </row>
    <row r="101" spans="1:13" s="59" customFormat="1">
      <c r="A101" s="1"/>
      <c r="B101" s="60"/>
      <c r="C101" s="58"/>
      <c r="E101" s="61"/>
      <c r="F101" s="3"/>
      <c r="G101" s="3"/>
      <c r="H101" s="3"/>
      <c r="I101" s="3"/>
      <c r="J101" s="3"/>
      <c r="K101" s="3"/>
      <c r="L101" s="3"/>
      <c r="M101" s="3"/>
    </row>
    <row r="102" spans="1:13" s="59" customFormat="1">
      <c r="A102" s="1"/>
      <c r="B102" s="60"/>
      <c r="C102" s="58"/>
      <c r="E102" s="61"/>
      <c r="F102" s="3"/>
      <c r="G102" s="3"/>
      <c r="H102" s="3"/>
      <c r="I102" s="3"/>
      <c r="J102" s="3"/>
      <c r="K102" s="3"/>
      <c r="L102" s="3"/>
      <c r="M102" s="3"/>
    </row>
    <row r="103" spans="1:13" s="59" customFormat="1">
      <c r="A103" s="1"/>
      <c r="B103" s="60"/>
      <c r="C103" s="58"/>
      <c r="E103" s="61"/>
      <c r="F103" s="3"/>
      <c r="G103" s="3"/>
      <c r="H103" s="3"/>
      <c r="I103" s="3"/>
      <c r="J103" s="3"/>
      <c r="K103" s="3"/>
      <c r="L103" s="3"/>
      <c r="M103" s="3"/>
    </row>
    <row r="104" spans="1:13" s="59" customFormat="1">
      <c r="A104" s="1"/>
      <c r="B104" s="60"/>
      <c r="C104" s="58"/>
      <c r="E104" s="61"/>
      <c r="F104" s="3"/>
      <c r="G104" s="3"/>
      <c r="H104" s="3"/>
      <c r="I104" s="3"/>
      <c r="J104" s="3"/>
      <c r="K104" s="3"/>
      <c r="L104" s="3"/>
      <c r="M104" s="3"/>
    </row>
    <row r="105" spans="1:13" s="59" customFormat="1">
      <c r="A105" s="1"/>
      <c r="B105" s="60"/>
      <c r="C105" s="58"/>
      <c r="E105" s="61"/>
      <c r="F105" s="3"/>
      <c r="G105" s="3"/>
      <c r="H105" s="3"/>
      <c r="I105" s="3"/>
      <c r="J105" s="3"/>
      <c r="K105" s="3"/>
      <c r="L105" s="3"/>
      <c r="M105" s="3"/>
    </row>
    <row r="106" spans="1:13" s="59" customFormat="1">
      <c r="A106" s="1"/>
      <c r="B106" s="60"/>
      <c r="C106" s="58"/>
      <c r="E106" s="61"/>
      <c r="F106" s="3"/>
      <c r="G106" s="3"/>
      <c r="H106" s="3"/>
      <c r="I106" s="3"/>
      <c r="J106" s="3"/>
      <c r="K106" s="3"/>
      <c r="L106" s="3"/>
      <c r="M106" s="3"/>
    </row>
    <row r="107" spans="1:13" s="59" customFormat="1">
      <c r="A107" s="1"/>
      <c r="B107" s="60"/>
      <c r="C107" s="58"/>
      <c r="E107" s="61"/>
      <c r="F107" s="3"/>
      <c r="G107" s="3"/>
      <c r="H107" s="3"/>
      <c r="I107" s="3"/>
      <c r="J107" s="3"/>
      <c r="K107" s="3"/>
      <c r="L107" s="3"/>
      <c r="M107" s="3"/>
    </row>
    <row r="108" spans="1:13" s="59" customFormat="1">
      <c r="A108" s="1"/>
      <c r="B108" s="60"/>
      <c r="C108" s="58"/>
      <c r="E108" s="61"/>
      <c r="F108" s="3"/>
      <c r="G108" s="3"/>
      <c r="H108" s="3"/>
      <c r="I108" s="3"/>
      <c r="J108" s="3"/>
      <c r="K108" s="3"/>
      <c r="L108" s="3"/>
      <c r="M108" s="3"/>
    </row>
  </sheetData>
  <mergeCells count="22">
    <mergeCell ref="A6:B6"/>
    <mergeCell ref="C6:E6"/>
    <mergeCell ref="C2:E2"/>
    <mergeCell ref="C3:E3"/>
    <mergeCell ref="A4:E4"/>
    <mergeCell ref="A5:B5"/>
    <mergeCell ref="C5:E5"/>
    <mergeCell ref="A7:B7"/>
    <mergeCell ref="C7:E7"/>
    <mergeCell ref="A8:B8"/>
    <mergeCell ref="C8:E8"/>
    <mergeCell ref="A9:B9"/>
    <mergeCell ref="C9:E9"/>
    <mergeCell ref="A60:E60"/>
    <mergeCell ref="A71:E71"/>
    <mergeCell ref="H17:L17"/>
    <mergeCell ref="A10:B10"/>
    <mergeCell ref="C10:E10"/>
    <mergeCell ref="A11:B11"/>
    <mergeCell ref="C11:E11"/>
    <mergeCell ref="A12:B12"/>
    <mergeCell ref="A13:E13"/>
  </mergeCells>
  <printOptions horizontalCentered="1"/>
  <pageMargins left="0.51181102362204722" right="0.51181102362204722" top="0.55118110236220474" bottom="0.55118110236220474" header="0.31496062992125984" footer="0.31496062992125984"/>
  <pageSetup scale="60" orientation="portrait" r:id="rId1"/>
  <rowBreaks count="1" manualBreakCount="1">
    <brk id="3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topLeftCell="A40" zoomScale="85" zoomScaleSheetLayoutView="85" workbookViewId="0">
      <selection activeCell="E58" sqref="E58"/>
    </sheetView>
  </sheetViews>
  <sheetFormatPr defaultRowHeight="15"/>
  <cols>
    <col min="1" max="1" width="7.28515625" style="1" customWidth="1"/>
    <col min="2" max="2" width="45.140625" style="64" customWidth="1"/>
    <col min="3" max="3" width="66" style="65" customWidth="1"/>
    <col min="4" max="4" width="17.7109375" style="59" customWidth="1"/>
    <col min="5" max="5" width="17.7109375" style="61" customWidth="1"/>
    <col min="6" max="6" width="11.42578125" style="3" bestFit="1" customWidth="1"/>
    <col min="7" max="8" width="9.140625" style="3"/>
    <col min="9" max="9" width="19" style="3" bestFit="1" customWidth="1"/>
    <col min="10" max="10" width="47.140625" style="3" customWidth="1"/>
    <col min="11" max="11" width="11.42578125" style="3" bestFit="1" customWidth="1"/>
    <col min="12" max="12" width="13.140625" style="3" bestFit="1" customWidth="1"/>
    <col min="13" max="13" width="11.7109375" style="3" bestFit="1" customWidth="1"/>
    <col min="14" max="16384" width="9.140625" style="3"/>
  </cols>
  <sheetData>
    <row r="1" spans="1:6" ht="57.75">
      <c r="C1" s="85" t="s">
        <v>185</v>
      </c>
    </row>
    <row r="2" spans="1:6">
      <c r="B2" s="2"/>
      <c r="C2" s="129" t="s">
        <v>0</v>
      </c>
      <c r="D2" s="129"/>
      <c r="E2" s="129"/>
    </row>
    <row r="3" spans="1:6">
      <c r="B3" s="2"/>
      <c r="C3" s="129" t="s">
        <v>1</v>
      </c>
      <c r="D3" s="129"/>
      <c r="E3" s="129"/>
    </row>
    <row r="4" spans="1:6" ht="88.5" customHeight="1">
      <c r="A4" s="130" t="s">
        <v>139</v>
      </c>
      <c r="B4" s="130"/>
      <c r="C4" s="130"/>
      <c r="D4" s="130"/>
      <c r="E4" s="131"/>
    </row>
    <row r="5" spans="1:6">
      <c r="A5" s="127" t="s">
        <v>2</v>
      </c>
      <c r="B5" s="119"/>
      <c r="C5" s="132" t="s">
        <v>3</v>
      </c>
      <c r="D5" s="132"/>
      <c r="E5" s="128"/>
    </row>
    <row r="6" spans="1:6">
      <c r="A6" s="127" t="s">
        <v>4</v>
      </c>
      <c r="B6" s="119"/>
      <c r="C6" s="123">
        <v>4</v>
      </c>
      <c r="D6" s="128"/>
      <c r="E6" s="128"/>
    </row>
    <row r="7" spans="1:6">
      <c r="A7" s="123" t="s">
        <v>5</v>
      </c>
      <c r="B7" s="119"/>
      <c r="C7" s="124">
        <f>C9+C8</f>
        <v>22125.599999999999</v>
      </c>
      <c r="D7" s="125"/>
      <c r="E7" s="126"/>
    </row>
    <row r="8" spans="1:6">
      <c r="A8" s="113" t="s">
        <v>6</v>
      </c>
      <c r="B8" s="114"/>
      <c r="C8" s="115">
        <v>20953.3</v>
      </c>
      <c r="D8" s="116"/>
      <c r="E8" s="117"/>
    </row>
    <row r="9" spans="1:6">
      <c r="A9" s="113" t="s">
        <v>7</v>
      </c>
      <c r="B9" s="114"/>
      <c r="C9" s="115">
        <v>1172.3</v>
      </c>
      <c r="D9" s="116"/>
      <c r="E9" s="117"/>
      <c r="F9" s="4"/>
    </row>
    <row r="10" spans="1:6">
      <c r="A10" s="113" t="s">
        <v>168</v>
      </c>
      <c r="B10" s="114"/>
      <c r="C10" s="115">
        <v>4297</v>
      </c>
      <c r="D10" s="116"/>
      <c r="E10" s="117"/>
      <c r="F10" s="4"/>
    </row>
    <row r="11" spans="1:6">
      <c r="A11" s="113" t="s">
        <v>8</v>
      </c>
      <c r="B11" s="114"/>
      <c r="C11" s="115">
        <v>11791.4</v>
      </c>
      <c r="D11" s="116"/>
      <c r="E11" s="117"/>
      <c r="F11" s="4"/>
    </row>
    <row r="12" spans="1:6" ht="60">
      <c r="A12" s="118" t="s">
        <v>9</v>
      </c>
      <c r="B12" s="119"/>
      <c r="C12" s="95" t="s">
        <v>10</v>
      </c>
      <c r="D12" s="6" t="s">
        <v>11</v>
      </c>
      <c r="E12" s="6" t="s">
        <v>12</v>
      </c>
    </row>
    <row r="13" spans="1:6">
      <c r="A13" s="120" t="s">
        <v>13</v>
      </c>
      <c r="B13" s="121"/>
      <c r="C13" s="121"/>
      <c r="D13" s="121"/>
      <c r="E13" s="122"/>
    </row>
    <row r="14" spans="1:6" ht="123.75">
      <c r="A14" s="7" t="s">
        <v>14</v>
      </c>
      <c r="B14" s="8" t="s">
        <v>15</v>
      </c>
      <c r="C14" s="9" t="s">
        <v>16</v>
      </c>
      <c r="D14" s="10">
        <f>((612072.2118504)*1.07*1.09)*1.05</f>
        <v>749552.81171517773</v>
      </c>
      <c r="E14" s="11">
        <f>D14/12/$C$7</f>
        <v>2.8230978734858327</v>
      </c>
    </row>
    <row r="15" spans="1:6" ht="104.25">
      <c r="A15" s="12" t="s">
        <v>17</v>
      </c>
      <c r="B15" s="13" t="s">
        <v>18</v>
      </c>
      <c r="C15" s="14" t="s">
        <v>19</v>
      </c>
      <c r="D15" s="15">
        <f>(470*26+220*39)*1.05</f>
        <v>21840</v>
      </c>
      <c r="E15" s="16">
        <f>D15/12/$C$7</f>
        <v>8.2257656289546954E-2</v>
      </c>
    </row>
    <row r="16" spans="1:6" ht="101.25">
      <c r="A16" s="7" t="s">
        <v>20</v>
      </c>
      <c r="B16" s="8" t="s">
        <v>21</v>
      </c>
      <c r="C16" s="9" t="s">
        <v>22</v>
      </c>
      <c r="D16" s="10">
        <f>(1.09*603610.3840368)*1.05</f>
        <v>690832.08453011769</v>
      </c>
      <c r="E16" s="11">
        <f t="shared" ref="E16:E57" si="0">D16/12/$C$7</f>
        <v>2.6019335239500765</v>
      </c>
    </row>
    <row r="17" spans="1:13" ht="30">
      <c r="A17" s="7" t="s">
        <v>23</v>
      </c>
      <c r="B17" s="8" t="s">
        <v>24</v>
      </c>
      <c r="C17" s="17" t="s">
        <v>25</v>
      </c>
      <c r="D17" s="18">
        <f>(1.09*350419.297551579)*1.05</f>
        <v>401054.8860477822</v>
      </c>
      <c r="E17" s="11">
        <f t="shared" si="0"/>
        <v>1.5105235792015517</v>
      </c>
      <c r="H17" s="141" t="s">
        <v>184</v>
      </c>
      <c r="I17" s="141"/>
      <c r="J17" s="141"/>
      <c r="K17" s="141"/>
      <c r="L17" s="141"/>
    </row>
    <row r="18" spans="1:13" ht="28.5">
      <c r="A18" s="19" t="s">
        <v>26</v>
      </c>
      <c r="B18" s="20" t="s">
        <v>27</v>
      </c>
      <c r="C18" s="21"/>
      <c r="D18" s="18">
        <f>SUM(D19:D26)</f>
        <v>422047.48122244613</v>
      </c>
      <c r="E18" s="11">
        <f t="shared" si="0"/>
        <v>1.5895895901220236</v>
      </c>
      <c r="H18" s="86">
        <f>(C10/2177.1)</f>
        <v>1.9737265169261864</v>
      </c>
      <c r="I18" s="87" t="s">
        <v>169</v>
      </c>
      <c r="J18" s="88" t="s">
        <v>170</v>
      </c>
      <c r="K18" s="89">
        <f>K24+K25</f>
        <v>61331.464387987573</v>
      </c>
      <c r="L18" s="89">
        <f>K18*12</f>
        <v>735977.5726558509</v>
      </c>
    </row>
    <row r="19" spans="1:13" ht="30">
      <c r="A19" s="7" t="s">
        <v>28</v>
      </c>
      <c r="B19" s="22" t="s">
        <v>29</v>
      </c>
      <c r="C19" s="23" t="s">
        <v>30</v>
      </c>
      <c r="D19" s="24">
        <f>655675.969451592/1.8</f>
        <v>364264.42747310665</v>
      </c>
      <c r="E19" s="16">
        <f t="shared" si="0"/>
        <v>1.3719568715014383</v>
      </c>
      <c r="H19" s="86">
        <f>H18*10000*1.25*1.25*1.15*13/12</f>
        <v>38420.848213602192</v>
      </c>
      <c r="I19" s="87" t="s">
        <v>171</v>
      </c>
      <c r="J19" s="90" t="s">
        <v>172</v>
      </c>
      <c r="K19" s="97">
        <f>H19</f>
        <v>38420.848213602192</v>
      </c>
      <c r="L19" s="89"/>
    </row>
    <row r="20" spans="1:13" ht="30">
      <c r="A20" s="7" t="s">
        <v>31</v>
      </c>
      <c r="B20" s="13" t="s">
        <v>32</v>
      </c>
      <c r="C20" s="25" t="s">
        <v>33</v>
      </c>
      <c r="D20" s="24">
        <f>67555.6483647588/1.5</f>
        <v>45037.098909839202</v>
      </c>
      <c r="E20" s="16">
        <f t="shared" si="0"/>
        <v>0.16962665761922541</v>
      </c>
      <c r="H20" s="92"/>
      <c r="I20" s="92"/>
      <c r="J20" s="90" t="s">
        <v>173</v>
      </c>
      <c r="K20" s="97">
        <f>K19*30.2%</f>
        <v>11603.096160507861</v>
      </c>
      <c r="L20" s="89"/>
    </row>
    <row r="21" spans="1:13" ht="30">
      <c r="A21" s="7" t="s">
        <v>34</v>
      </c>
      <c r="B21" s="22" t="s">
        <v>35</v>
      </c>
      <c r="C21" s="23" t="s">
        <v>36</v>
      </c>
      <c r="D21" s="24">
        <v>1929.4542774488727</v>
      </c>
      <c r="E21" s="16">
        <f t="shared" si="0"/>
        <v>7.2670506767758955E-3</v>
      </c>
      <c r="H21" s="92"/>
      <c r="I21" s="92"/>
      <c r="J21" s="90" t="s">
        <v>174</v>
      </c>
      <c r="K21" s="97">
        <f>K19*10%</f>
        <v>3842.0848213602194</v>
      </c>
      <c r="L21" s="89"/>
    </row>
    <row r="22" spans="1:13" ht="75">
      <c r="A22" s="7" t="s">
        <v>37</v>
      </c>
      <c r="B22" s="13" t="s">
        <v>38</v>
      </c>
      <c r="C22" s="25" t="s">
        <v>39</v>
      </c>
      <c r="D22" s="26">
        <v>4402.8723925597924</v>
      </c>
      <c r="E22" s="16">
        <f t="shared" si="0"/>
        <v>1.6582873807413859E-2</v>
      </c>
      <c r="H22" s="92"/>
      <c r="I22" s="92"/>
      <c r="J22" s="90" t="s">
        <v>175</v>
      </c>
      <c r="K22" s="97">
        <f>SUM(K19:K21)*0.2%</f>
        <v>107.73205839094055</v>
      </c>
      <c r="L22" s="89"/>
    </row>
    <row r="23" spans="1:13" ht="45">
      <c r="A23" s="7" t="s">
        <v>40</v>
      </c>
      <c r="B23" s="13" t="s">
        <v>41</v>
      </c>
      <c r="C23" s="25" t="s">
        <v>42</v>
      </c>
      <c r="D23" s="26">
        <v>1228.1338660212109</v>
      </c>
      <c r="E23" s="16">
        <f t="shared" si="0"/>
        <v>4.6256141679819262E-3</v>
      </c>
      <c r="H23" s="92"/>
      <c r="I23" s="92"/>
      <c r="J23" s="90" t="s">
        <v>176</v>
      </c>
      <c r="K23" s="97">
        <f>SUM(K19:K22)*7.2%</f>
        <v>3886.1108102780081</v>
      </c>
      <c r="L23" s="89"/>
    </row>
    <row r="24" spans="1:13">
      <c r="A24" s="7" t="s">
        <v>43</v>
      </c>
      <c r="B24" s="13" t="s">
        <v>44</v>
      </c>
      <c r="C24" s="25" t="s">
        <v>45</v>
      </c>
      <c r="D24" s="26">
        <v>203.30802207150762</v>
      </c>
      <c r="E24" s="16">
        <f t="shared" si="0"/>
        <v>7.6573449635831969E-4</v>
      </c>
      <c r="H24" s="92"/>
      <c r="I24" s="92"/>
      <c r="J24" s="90" t="s">
        <v>177</v>
      </c>
      <c r="K24" s="97">
        <f>SUM(K19:K23)</f>
        <v>57859.872064139221</v>
      </c>
      <c r="L24" s="89"/>
    </row>
    <row r="25" spans="1:13">
      <c r="A25" s="7" t="s">
        <v>46</v>
      </c>
      <c r="B25" s="13" t="s">
        <v>47</v>
      </c>
      <c r="C25" s="25" t="s">
        <v>45</v>
      </c>
      <c r="D25" s="26">
        <v>3489.5964030408531</v>
      </c>
      <c r="E25" s="16">
        <f t="shared" si="0"/>
        <v>1.3143132853048254E-2</v>
      </c>
      <c r="F25" s="27"/>
      <c r="H25" s="92"/>
      <c r="I25" s="92"/>
      <c r="J25" s="90" t="s">
        <v>178</v>
      </c>
      <c r="K25" s="97">
        <f>K24*6%</f>
        <v>3471.5923238483533</v>
      </c>
      <c r="L25" s="89"/>
    </row>
    <row r="26" spans="1:13">
      <c r="A26" s="7" t="s">
        <v>48</v>
      </c>
      <c r="B26" s="13" t="s">
        <v>49</v>
      </c>
      <c r="C26" s="25" t="s">
        <v>50</v>
      </c>
      <c r="D26" s="26">
        <v>1492.589878358041</v>
      </c>
      <c r="E26" s="16">
        <f t="shared" si="0"/>
        <v>5.6216549997817047E-3</v>
      </c>
      <c r="H26" s="92"/>
      <c r="I26" s="92"/>
      <c r="J26" s="92"/>
      <c r="K26" s="92"/>
      <c r="L26" s="93"/>
    </row>
    <row r="27" spans="1:13" ht="28.5">
      <c r="A27" s="7" t="s">
        <v>51</v>
      </c>
      <c r="B27" s="8" t="s">
        <v>52</v>
      </c>
      <c r="C27" s="28"/>
      <c r="D27" s="18">
        <f>D28+D37</f>
        <v>951994.63863974717</v>
      </c>
      <c r="E27" s="11">
        <f t="shared" si="0"/>
        <v>3.5855699530549345</v>
      </c>
      <c r="H27" s="103">
        <v>1.3143356500000001</v>
      </c>
      <c r="I27" s="87" t="s">
        <v>169</v>
      </c>
      <c r="J27" s="88" t="s">
        <v>170</v>
      </c>
      <c r="K27" s="89">
        <f>K33+K34</f>
        <v>40841.59047393097</v>
      </c>
      <c r="L27" s="89">
        <f>K27*12</f>
        <v>490099.08568717167</v>
      </c>
      <c r="M27" s="105">
        <f>D18</f>
        <v>422047.48122244613</v>
      </c>
    </row>
    <row r="28" spans="1:13">
      <c r="A28" s="7" t="s">
        <v>53</v>
      </c>
      <c r="B28" s="29" t="s">
        <v>54</v>
      </c>
      <c r="C28" s="30"/>
      <c r="D28" s="100">
        <f>SUM(D29:D36)</f>
        <v>447274.8178907673</v>
      </c>
      <c r="E28" s="101">
        <f t="shared" si="0"/>
        <v>1.6846052306331705</v>
      </c>
      <c r="H28" s="86">
        <f>H27*10000*1.25*1.25*1.15*13/12</f>
        <v>25585.049436848956</v>
      </c>
      <c r="I28" s="87" t="s">
        <v>171</v>
      </c>
      <c r="J28" s="90" t="s">
        <v>172</v>
      </c>
      <c r="K28" s="104">
        <f>H28</f>
        <v>25585.049436848956</v>
      </c>
      <c r="L28" s="89"/>
      <c r="M28" s="105">
        <f>L27-M27</f>
        <v>68051.604464725533</v>
      </c>
    </row>
    <row r="29" spans="1:13" ht="30">
      <c r="A29" s="7" t="s">
        <v>55</v>
      </c>
      <c r="B29" s="13" t="s">
        <v>56</v>
      </c>
      <c r="C29" s="106" t="s">
        <v>188</v>
      </c>
      <c r="D29" s="26">
        <f>361745.389560221/2</f>
        <v>180872.6947801105</v>
      </c>
      <c r="E29" s="16">
        <f t="shared" si="0"/>
        <v>0.68123461352502124</v>
      </c>
      <c r="H29" s="92"/>
      <c r="I29" s="92"/>
      <c r="J29" s="90" t="s">
        <v>173</v>
      </c>
      <c r="K29" s="99">
        <f>K28*30.2%</f>
        <v>7726.6849299283849</v>
      </c>
      <c r="L29" s="89"/>
    </row>
    <row r="30" spans="1:13" ht="30">
      <c r="A30" s="7" t="s">
        <v>58</v>
      </c>
      <c r="B30" s="13" t="s">
        <v>59</v>
      </c>
      <c r="C30" s="106" t="s">
        <v>191</v>
      </c>
      <c r="D30" s="26">
        <f>469336.897314571/2</f>
        <v>234668.44865728551</v>
      </c>
      <c r="E30" s="16">
        <f t="shared" si="0"/>
        <v>0.88384966078993532</v>
      </c>
      <c r="H30" s="92"/>
      <c r="I30" s="92"/>
      <c r="J30" s="90" t="s">
        <v>174</v>
      </c>
      <c r="K30" s="99">
        <f>K28*10%</f>
        <v>2558.5049436848958</v>
      </c>
      <c r="L30" s="89"/>
    </row>
    <row r="31" spans="1:13">
      <c r="A31" s="7" t="s">
        <v>61</v>
      </c>
      <c r="B31" s="13" t="s">
        <v>62</v>
      </c>
      <c r="C31" s="31" t="s">
        <v>63</v>
      </c>
      <c r="D31" s="26">
        <f>37565.8711735631/1.9</f>
        <v>19771.511143980581</v>
      </c>
      <c r="E31" s="16">
        <f t="shared" si="0"/>
        <v>7.4466949084546791E-2</v>
      </c>
      <c r="H31" s="92"/>
      <c r="I31" s="92"/>
      <c r="J31" s="90" t="s">
        <v>175</v>
      </c>
      <c r="K31" s="99">
        <f>SUM(K28:K30)*0.2%</f>
        <v>71.740478620924463</v>
      </c>
      <c r="L31" s="89"/>
    </row>
    <row r="32" spans="1:13" ht="30">
      <c r="A32" s="7" t="s">
        <v>64</v>
      </c>
      <c r="B32" s="13" t="s">
        <v>65</v>
      </c>
      <c r="C32" s="31" t="s">
        <v>50</v>
      </c>
      <c r="D32" s="26">
        <v>2241.3369948145105</v>
      </c>
      <c r="E32" s="16">
        <f t="shared" si="0"/>
        <v>8.4417183218176792E-3</v>
      </c>
      <c r="H32" s="92"/>
      <c r="I32" s="92"/>
      <c r="J32" s="90" t="s">
        <v>176</v>
      </c>
      <c r="K32" s="99">
        <f>SUM(K28:K31)*7.2%</f>
        <v>2587.8225448139874</v>
      </c>
      <c r="L32" s="89"/>
    </row>
    <row r="33" spans="1:13" ht="30">
      <c r="A33" s="7" t="s">
        <v>66</v>
      </c>
      <c r="B33" s="13" t="s">
        <v>67</v>
      </c>
      <c r="C33" s="31" t="s">
        <v>68</v>
      </c>
      <c r="D33" s="26">
        <v>1894.053840673334</v>
      </c>
      <c r="E33" s="16">
        <f t="shared" si="0"/>
        <v>7.1337193141027214E-3</v>
      </c>
      <c r="H33" s="92"/>
      <c r="I33" s="92"/>
      <c r="J33" s="90" t="s">
        <v>177</v>
      </c>
      <c r="K33" s="99">
        <f>SUM(K28:K32)</f>
        <v>38529.80233389714</v>
      </c>
      <c r="L33" s="89"/>
    </row>
    <row r="34" spans="1:13">
      <c r="A34" s="7" t="s">
        <v>69</v>
      </c>
      <c r="B34" s="13" t="s">
        <v>70</v>
      </c>
      <c r="C34" s="31" t="s">
        <v>71</v>
      </c>
      <c r="D34" s="26">
        <v>5682.2320220512929</v>
      </c>
      <c r="E34" s="16">
        <f t="shared" si="0"/>
        <v>2.1401423471948382E-2</v>
      </c>
      <c r="H34" s="92"/>
      <c r="I34" s="92"/>
      <c r="J34" s="90" t="s">
        <v>178</v>
      </c>
      <c r="K34" s="99">
        <f>K33*6%</f>
        <v>2311.7881400338283</v>
      </c>
      <c r="L34" s="89"/>
    </row>
    <row r="35" spans="1:13" ht="30">
      <c r="A35" s="7" t="s">
        <v>72</v>
      </c>
      <c r="B35" s="13" t="s">
        <v>73</v>
      </c>
      <c r="C35" s="31" t="s">
        <v>74</v>
      </c>
      <c r="D35" s="26">
        <v>2088.563427006161</v>
      </c>
      <c r="E35" s="16">
        <f t="shared" si="0"/>
        <v>7.8663155914647925E-3</v>
      </c>
      <c r="H35" s="92"/>
      <c r="I35" s="92"/>
      <c r="J35" s="92"/>
      <c r="K35" s="92"/>
      <c r="L35" s="93"/>
    </row>
    <row r="36" spans="1:13">
      <c r="A36" s="7" t="s">
        <v>75</v>
      </c>
      <c r="B36" s="13" t="s">
        <v>76</v>
      </c>
      <c r="C36" s="31" t="s">
        <v>77</v>
      </c>
      <c r="D36" s="26">
        <v>55.97702484532968</v>
      </c>
      <c r="E36" s="16">
        <f t="shared" si="0"/>
        <v>2.1083053433326737E-4</v>
      </c>
      <c r="H36" s="86">
        <f>(C11/3801.6)</f>
        <v>3.1016940235690234</v>
      </c>
      <c r="I36" s="87" t="s">
        <v>169</v>
      </c>
      <c r="J36" s="88" t="s">
        <v>179</v>
      </c>
      <c r="K36" s="89">
        <f>K44+K45</f>
        <v>149371.26212490839</v>
      </c>
      <c r="L36" s="89">
        <f>K36*12</f>
        <v>1792455.1454989007</v>
      </c>
    </row>
    <row r="37" spans="1:13">
      <c r="A37" s="7" t="s">
        <v>78</v>
      </c>
      <c r="B37" s="29" t="s">
        <v>79</v>
      </c>
      <c r="C37" s="32"/>
      <c r="D37" s="100">
        <f>SUM(D38:D45)</f>
        <v>504719.82074897981</v>
      </c>
      <c r="E37" s="101">
        <f t="shared" si="0"/>
        <v>1.9009647224217643</v>
      </c>
      <c r="H37" s="86">
        <f>H36*14000*1.25*1.25*1.15*13/12</f>
        <v>84529.239470442248</v>
      </c>
      <c r="I37" s="87" t="s">
        <v>180</v>
      </c>
      <c r="J37" s="90" t="s">
        <v>172</v>
      </c>
      <c r="K37" s="97">
        <f>H37</f>
        <v>84529.239470442248</v>
      </c>
      <c r="L37" s="89"/>
    </row>
    <row r="38" spans="1:13" ht="30">
      <c r="A38" s="7" t="s">
        <v>80</v>
      </c>
      <c r="B38" s="13" t="s">
        <v>81</v>
      </c>
      <c r="C38" s="106" t="s">
        <v>82</v>
      </c>
      <c r="D38" s="26">
        <f>407858.436176667/2</f>
        <v>203929.21808833349</v>
      </c>
      <c r="E38" s="16">
        <f t="shared" si="0"/>
        <v>0.76807415425394676</v>
      </c>
      <c r="F38" s="4"/>
      <c r="H38" s="92"/>
      <c r="I38" s="92"/>
      <c r="J38" s="90" t="s">
        <v>173</v>
      </c>
      <c r="K38" s="97">
        <f>K37*30.2%</f>
        <v>25527.830320073557</v>
      </c>
      <c r="L38" s="89"/>
      <c r="M38" s="27">
        <f>D27</f>
        <v>951994.63863974717</v>
      </c>
    </row>
    <row r="39" spans="1:13" ht="30">
      <c r="A39" s="7" t="s">
        <v>83</v>
      </c>
      <c r="B39" s="13" t="s">
        <v>84</v>
      </c>
      <c r="C39" s="106" t="s">
        <v>85</v>
      </c>
      <c r="D39" s="26">
        <f>31782.5899760953/2</f>
        <v>15891.29498804765</v>
      </c>
      <c r="E39" s="16">
        <f t="shared" si="0"/>
        <v>5.9852595289497421E-2</v>
      </c>
      <c r="H39" s="92"/>
      <c r="I39" s="92"/>
      <c r="J39" s="90" t="s">
        <v>174</v>
      </c>
      <c r="K39" s="97">
        <f>K37*10%</f>
        <v>8452.9239470442244</v>
      </c>
      <c r="L39" s="89"/>
      <c r="M39" s="27">
        <f>L47-M38</f>
        <v>183582.92853648518</v>
      </c>
    </row>
    <row r="40" spans="1:13">
      <c r="A40" s="7" t="s">
        <v>86</v>
      </c>
      <c r="B40" s="13" t="s">
        <v>87</v>
      </c>
      <c r="C40" s="106" t="s">
        <v>189</v>
      </c>
      <c r="D40" s="26">
        <f>364948.496120679/2</f>
        <v>182474.24806033951</v>
      </c>
      <c r="E40" s="16">
        <f t="shared" si="0"/>
        <v>0.68726666568868766</v>
      </c>
      <c r="H40" s="92"/>
      <c r="I40" s="92"/>
      <c r="J40" s="90" t="s">
        <v>181</v>
      </c>
      <c r="K40" s="97">
        <f>K37*10%</f>
        <v>8452.9239470442244</v>
      </c>
      <c r="L40" s="89">
        <f>K40*12</f>
        <v>101435.08736453069</v>
      </c>
    </row>
    <row r="41" spans="1:13" ht="30">
      <c r="A41" s="7" t="s">
        <v>89</v>
      </c>
      <c r="B41" s="13" t="s">
        <v>90</v>
      </c>
      <c r="C41" s="31" t="s">
        <v>91</v>
      </c>
      <c r="D41" s="26">
        <v>231.6166897617739</v>
      </c>
      <c r="E41" s="16">
        <f t="shared" si="0"/>
        <v>8.7235558870634746E-4</v>
      </c>
      <c r="H41" s="92"/>
      <c r="I41" s="92"/>
      <c r="J41" s="90" t="s">
        <v>182</v>
      </c>
      <c r="K41" s="97">
        <f>K37*5%</f>
        <v>4226.4619735221122</v>
      </c>
      <c r="L41" s="89"/>
    </row>
    <row r="42" spans="1:13">
      <c r="A42" s="7" t="s">
        <v>92</v>
      </c>
      <c r="B42" s="13" t="s">
        <v>93</v>
      </c>
      <c r="C42" s="33" t="s">
        <v>71</v>
      </c>
      <c r="D42" s="26">
        <v>2762.6540602644172</v>
      </c>
      <c r="E42" s="16">
        <f t="shared" si="0"/>
        <v>1.0405194511728562E-2</v>
      </c>
      <c r="H42" s="92"/>
      <c r="I42" s="92"/>
      <c r="J42" s="90" t="s">
        <v>175</v>
      </c>
      <c r="K42" s="97">
        <f>SUM(K37:K41)*0.2%</f>
        <v>262.37875931625274</v>
      </c>
      <c r="L42" s="89"/>
    </row>
    <row r="43" spans="1:13">
      <c r="A43" s="7" t="s">
        <v>94</v>
      </c>
      <c r="B43" s="13" t="s">
        <v>95</v>
      </c>
      <c r="C43" s="33" t="s">
        <v>42</v>
      </c>
      <c r="D43" s="26">
        <v>2763.5188883660394</v>
      </c>
      <c r="E43" s="16">
        <f t="shared" si="0"/>
        <v>1.0408451779710831E-2</v>
      </c>
      <c r="F43" s="27"/>
      <c r="H43" s="92"/>
      <c r="I43" s="92"/>
      <c r="J43" s="90" t="s">
        <v>183</v>
      </c>
      <c r="K43" s="97">
        <f>SUM(K37:K42)*7.2%</f>
        <v>9464.5266060558697</v>
      </c>
      <c r="L43" s="89"/>
    </row>
    <row r="44" spans="1:13">
      <c r="A44" s="7" t="s">
        <v>96</v>
      </c>
      <c r="B44" s="13" t="s">
        <v>76</v>
      </c>
      <c r="C44" s="33" t="s">
        <v>77</v>
      </c>
      <c r="D44" s="26">
        <v>62.424864789833158</v>
      </c>
      <c r="E44" s="16">
        <f t="shared" si="0"/>
        <v>2.3511552526572977E-4</v>
      </c>
      <c r="H44" s="92"/>
      <c r="I44" s="92"/>
      <c r="J44" s="90" t="s">
        <v>177</v>
      </c>
      <c r="K44" s="97">
        <f>SUM(K37:K43)</f>
        <v>140916.28502349849</v>
      </c>
      <c r="L44" s="89"/>
    </row>
    <row r="45" spans="1:13" s="37" customFormat="1">
      <c r="A45" s="19" t="s">
        <v>97</v>
      </c>
      <c r="B45" s="34" t="s">
        <v>98</v>
      </c>
      <c r="C45" s="35" t="s">
        <v>187</v>
      </c>
      <c r="D45" s="26">
        <f>101435.087364531/1.05</f>
        <v>96604.845109077141</v>
      </c>
      <c r="E45" s="16">
        <f t="shared" si="0"/>
        <v>0.36385018978422107</v>
      </c>
      <c r="F45" s="36"/>
      <c r="H45" s="92"/>
      <c r="I45" s="92"/>
      <c r="J45" s="90" t="s">
        <v>178</v>
      </c>
      <c r="K45" s="97">
        <f>K44*6%</f>
        <v>8454.9771014099097</v>
      </c>
      <c r="L45" s="89"/>
    </row>
    <row r="46" spans="1:13" ht="42.75">
      <c r="A46" s="7" t="s">
        <v>100</v>
      </c>
      <c r="B46" s="38" t="s">
        <v>101</v>
      </c>
      <c r="C46" s="98" t="s">
        <v>102</v>
      </c>
      <c r="D46" s="18">
        <f>(1.09*176738.166)*1.05</f>
        <v>202276.83098700002</v>
      </c>
      <c r="E46" s="11">
        <f t="shared" si="0"/>
        <v>0.76185064279612769</v>
      </c>
    </row>
    <row r="47" spans="1:13" ht="28.5">
      <c r="A47" s="7" t="s">
        <v>103</v>
      </c>
      <c r="B47" s="8" t="s">
        <v>104</v>
      </c>
      <c r="C47" s="96" t="s">
        <v>105</v>
      </c>
      <c r="D47" s="18">
        <f>(1.09*403862.776416)*1.01</f>
        <v>444612.5305563744</v>
      </c>
      <c r="E47" s="11">
        <f t="shared" si="0"/>
        <v>1.6745780549694111</v>
      </c>
      <c r="H47" s="103">
        <v>1.9650221999999999</v>
      </c>
      <c r="I47" s="87" t="s">
        <v>169</v>
      </c>
      <c r="J47" s="88" t="s">
        <v>179</v>
      </c>
      <c r="K47" s="89">
        <f>K55+K56</f>
        <v>94631.4639313527</v>
      </c>
      <c r="L47" s="89">
        <f>K47*12</f>
        <v>1135577.5671762323</v>
      </c>
    </row>
    <row r="48" spans="1:13" ht="28.5">
      <c r="A48" s="7" t="s">
        <v>106</v>
      </c>
      <c r="B48" s="8" t="s">
        <v>107</v>
      </c>
      <c r="C48" s="96" t="s">
        <v>108</v>
      </c>
      <c r="D48" s="18">
        <f>(1.09*279567.6444)*1.01</f>
        <v>307776.01971995999</v>
      </c>
      <c r="E48" s="11">
        <f t="shared" si="0"/>
        <v>1.1592002767531728</v>
      </c>
      <c r="H48" s="86">
        <f>H47*14000*1.25*1.25*1.15*13/12</f>
        <v>53551.972195312497</v>
      </c>
      <c r="I48" s="87" t="s">
        <v>180</v>
      </c>
      <c r="J48" s="90" t="s">
        <v>172</v>
      </c>
      <c r="K48" s="104">
        <f>H48</f>
        <v>53551.972195312497</v>
      </c>
      <c r="L48" s="89"/>
    </row>
    <row r="49" spans="1:12">
      <c r="A49" s="7" t="s">
        <v>109</v>
      </c>
      <c r="B49" s="8" t="s">
        <v>110</v>
      </c>
      <c r="C49" s="96" t="s">
        <v>111</v>
      </c>
      <c r="D49" s="18">
        <f>(1.09*21377.5062590628)*1.05</f>
        <v>24466.555913497377</v>
      </c>
      <c r="E49" s="11">
        <f t="shared" si="0"/>
        <v>9.2150253979919855E-2</v>
      </c>
      <c r="H49" s="92"/>
      <c r="I49" s="92"/>
      <c r="J49" s="90" t="s">
        <v>173</v>
      </c>
      <c r="K49" s="99">
        <f>K48*30.2%</f>
        <v>16172.695602984373</v>
      </c>
      <c r="L49" s="89"/>
    </row>
    <row r="50" spans="1:12">
      <c r="A50" s="7" t="s">
        <v>112</v>
      </c>
      <c r="B50" s="8" t="s">
        <v>113</v>
      </c>
      <c r="C50" s="96" t="s">
        <v>114</v>
      </c>
      <c r="D50" s="18">
        <f>(1.09*678031.8732)*1.05</f>
        <v>776007.47887740016</v>
      </c>
      <c r="E50" s="11">
        <f t="shared" si="0"/>
        <v>2.9227361023633267</v>
      </c>
      <c r="H50" s="92"/>
      <c r="I50" s="92"/>
      <c r="J50" s="90" t="s">
        <v>174</v>
      </c>
      <c r="K50" s="99">
        <f>K48*10%</f>
        <v>5355.1972195312501</v>
      </c>
      <c r="L50" s="89"/>
    </row>
    <row r="51" spans="1:12" ht="30">
      <c r="A51" s="7" t="s">
        <v>115</v>
      </c>
      <c r="B51" s="8" t="s">
        <v>116</v>
      </c>
      <c r="C51" s="96" t="s">
        <v>117</v>
      </c>
      <c r="D51" s="18">
        <f>(1.18*12*5482*1.09)*1.05</f>
        <v>88841.949840000001</v>
      </c>
      <c r="E51" s="11">
        <f t="shared" si="0"/>
        <v>0.33461220577069101</v>
      </c>
      <c r="H51" s="92"/>
      <c r="I51" s="92"/>
      <c r="J51" s="90" t="s">
        <v>181</v>
      </c>
      <c r="K51" s="99">
        <f>K48*10%</f>
        <v>5355.1972195312501</v>
      </c>
      <c r="L51" s="89">
        <f>K51*12</f>
        <v>64262.366634375001</v>
      </c>
    </row>
    <row r="52" spans="1:12" ht="30">
      <c r="A52" s="7" t="s">
        <v>118</v>
      </c>
      <c r="B52" s="8" t="s">
        <v>119</v>
      </c>
      <c r="C52" s="96" t="s">
        <v>117</v>
      </c>
      <c r="D52" s="18">
        <f>(12*3743*1.18*1.09)*1.03</f>
        <v>59504.08797600001</v>
      </c>
      <c r="E52" s="11">
        <f t="shared" si="0"/>
        <v>0.22411478097769105</v>
      </c>
      <c r="H52" s="92"/>
      <c r="I52" s="92"/>
      <c r="J52" s="90" t="s">
        <v>182</v>
      </c>
      <c r="K52" s="99">
        <f>K48*5%</f>
        <v>2677.598609765625</v>
      </c>
      <c r="L52" s="89"/>
    </row>
    <row r="53" spans="1:12" ht="28.5">
      <c r="A53" s="7" t="s">
        <v>120</v>
      </c>
      <c r="B53" s="8" t="s">
        <v>190</v>
      </c>
      <c r="C53" s="96" t="s">
        <v>114</v>
      </c>
      <c r="D53" s="18">
        <f>(1.07*581367.6/1.18*1.09)*1.01</f>
        <v>580364.00186338997</v>
      </c>
      <c r="E53" s="11">
        <f t="shared" si="0"/>
        <v>2.1858691661220111</v>
      </c>
      <c r="H53" s="92"/>
      <c r="I53" s="92"/>
      <c r="J53" s="90" t="s">
        <v>175</v>
      </c>
      <c r="K53" s="99">
        <f>SUM(K48:K52)*0.2%</f>
        <v>166.22532169425003</v>
      </c>
      <c r="L53" s="89"/>
    </row>
    <row r="54" spans="1:12" ht="42.75">
      <c r="A54" s="41" t="s">
        <v>122</v>
      </c>
      <c r="B54" s="8" t="s">
        <v>123</v>
      </c>
      <c r="C54" s="96"/>
      <c r="D54" s="18">
        <f>7000*10*0</f>
        <v>0</v>
      </c>
      <c r="E54" s="11">
        <f t="shared" si="0"/>
        <v>0</v>
      </c>
      <c r="H54" s="92"/>
      <c r="I54" s="92"/>
      <c r="J54" s="90" t="s">
        <v>183</v>
      </c>
      <c r="K54" s="99">
        <f>SUM(K48:K53)*7.2%</f>
        <v>5996.079804154987</v>
      </c>
      <c r="L54" s="89"/>
    </row>
    <row r="55" spans="1:12" ht="30">
      <c r="A55" s="7" t="s">
        <v>124</v>
      </c>
      <c r="B55" s="8" t="s">
        <v>125</v>
      </c>
      <c r="C55" s="96" t="s">
        <v>126</v>
      </c>
      <c r="D55" s="18">
        <f>9440*C6*1.1*1.18*0</f>
        <v>0</v>
      </c>
      <c r="E55" s="11">
        <f t="shared" si="0"/>
        <v>0</v>
      </c>
      <c r="H55" s="92"/>
      <c r="I55" s="92"/>
      <c r="J55" s="90" t="s">
        <v>177</v>
      </c>
      <c r="K55" s="99">
        <f>SUM(K48:K54)</f>
        <v>89274.965972974242</v>
      </c>
      <c r="L55" s="89"/>
    </row>
    <row r="56" spans="1:12">
      <c r="A56" s="42"/>
      <c r="B56" s="8" t="s">
        <v>127</v>
      </c>
      <c r="C56" s="28"/>
      <c r="D56" s="43">
        <f>D14+D16+D17+D18+D27+D46+D47+D48+D49+D50+D51+D52+D53+D54+D55</f>
        <v>5699331.3578888932</v>
      </c>
      <c r="E56" s="43">
        <f t="shared" si="0"/>
        <v>21.46582600354677</v>
      </c>
      <c r="F56" s="27"/>
      <c r="H56" s="92"/>
      <c r="I56" s="92"/>
      <c r="J56" s="90" t="s">
        <v>178</v>
      </c>
      <c r="K56" s="99">
        <f>K55*6%</f>
        <v>5356.4979583784543</v>
      </c>
      <c r="L56" s="89"/>
    </row>
    <row r="57" spans="1:12" ht="112.5">
      <c r="A57" s="19"/>
      <c r="B57" s="8" t="s">
        <v>128</v>
      </c>
      <c r="C57" s="44" t="s">
        <v>129</v>
      </c>
      <c r="D57" s="43">
        <f>D56*20%</f>
        <v>1139866.2715777787</v>
      </c>
      <c r="E57" s="43">
        <f t="shared" si="0"/>
        <v>4.293165200709355</v>
      </c>
    </row>
    <row r="58" spans="1:12" ht="29.25" customHeight="1">
      <c r="A58" s="42"/>
      <c r="B58" s="8" t="s">
        <v>130</v>
      </c>
      <c r="C58" s="28"/>
      <c r="D58" s="43">
        <f>D57+D56</f>
        <v>6839197.6294666715</v>
      </c>
      <c r="E58" s="43">
        <f>D58/12/$C$7</f>
        <v>25.758991204256123</v>
      </c>
      <c r="F58" s="27"/>
    </row>
    <row r="59" spans="1:12">
      <c r="A59" s="109" t="s">
        <v>131</v>
      </c>
      <c r="B59" s="110"/>
      <c r="C59" s="110"/>
      <c r="D59" s="110"/>
      <c r="E59" s="111"/>
      <c r="F59" s="27"/>
    </row>
    <row r="60" spans="1:12" ht="28.5">
      <c r="A60" s="19" t="s">
        <v>14</v>
      </c>
      <c r="B60" s="8" t="s">
        <v>132</v>
      </c>
      <c r="C60" s="45"/>
      <c r="D60" s="18">
        <f>E60*12*C7</f>
        <v>139391.28</v>
      </c>
      <c r="E60" s="11">
        <f>1.05*0.5</f>
        <v>0.52500000000000002</v>
      </c>
    </row>
    <row r="61" spans="1:12" hidden="1">
      <c r="A61" s="7" t="s">
        <v>20</v>
      </c>
      <c r="B61" s="66" t="s">
        <v>140</v>
      </c>
      <c r="C61" s="67" t="s">
        <v>141</v>
      </c>
      <c r="D61" s="83">
        <f>энергосбер78!C26*1.18</f>
        <v>344978.87837085105</v>
      </c>
      <c r="E61" s="84">
        <f>D61/12/$C$7</f>
        <v>1.2993202382867624</v>
      </c>
    </row>
    <row r="62" spans="1:12">
      <c r="A62" s="46"/>
      <c r="B62" s="2"/>
      <c r="C62" s="47"/>
      <c r="D62" s="48"/>
      <c r="E62" s="49"/>
    </row>
    <row r="63" spans="1:12">
      <c r="A63" s="46"/>
      <c r="B63" s="2"/>
      <c r="C63" s="50">
        <v>2017</v>
      </c>
      <c r="D63" s="50">
        <v>2016</v>
      </c>
      <c r="E63" s="50" t="s">
        <v>133</v>
      </c>
    </row>
    <row r="64" spans="1:12">
      <c r="A64" s="46"/>
      <c r="B64" s="2"/>
      <c r="C64" s="51">
        <f>E57+E56</f>
        <v>25.758991204256127</v>
      </c>
      <c r="D64" s="51">
        <v>24.06</v>
      </c>
      <c r="E64" s="52">
        <f>C64/D64-100%</f>
        <v>7.0614763269165826E-2</v>
      </c>
      <c r="H64" s="3">
        <f>24.09*1.05</f>
        <v>25.294499999999999</v>
      </c>
    </row>
    <row r="65" spans="1:11">
      <c r="A65" s="46"/>
      <c r="B65" s="2"/>
      <c r="C65" s="47"/>
      <c r="D65" s="48"/>
      <c r="E65" s="49"/>
    </row>
    <row r="66" spans="1:11">
      <c r="A66" s="53"/>
      <c r="B66" s="54"/>
      <c r="C66" s="55"/>
      <c r="D66" s="56"/>
      <c r="E66" s="56"/>
    </row>
    <row r="67" spans="1:11">
      <c r="B67" s="57" t="s">
        <v>134</v>
      </c>
      <c r="C67" s="58"/>
      <c r="D67" s="3"/>
      <c r="E67" s="59" t="s">
        <v>135</v>
      </c>
    </row>
    <row r="68" spans="1:11">
      <c r="B68" s="57"/>
      <c r="C68" s="58"/>
      <c r="D68" s="3"/>
      <c r="E68" s="59"/>
    </row>
    <row r="69" spans="1:11">
      <c r="B69" s="57" t="s">
        <v>136</v>
      </c>
      <c r="C69" s="58"/>
      <c r="D69" s="3"/>
      <c r="E69" s="59" t="s">
        <v>137</v>
      </c>
    </row>
    <row r="70" spans="1:11">
      <c r="B70" s="60"/>
      <c r="C70" s="58"/>
    </row>
    <row r="71" spans="1:11" ht="63" customHeight="1">
      <c r="A71" s="112" t="s">
        <v>138</v>
      </c>
      <c r="B71" s="112"/>
      <c r="C71" s="112"/>
      <c r="D71" s="112"/>
      <c r="E71" s="112"/>
      <c r="F71" s="62"/>
      <c r="G71" s="62"/>
    </row>
    <row r="72" spans="1:11">
      <c r="A72" s="62"/>
      <c r="B72" s="94"/>
      <c r="C72" s="62"/>
      <c r="D72" s="62"/>
      <c r="E72" s="62"/>
      <c r="F72" s="62"/>
      <c r="G72" s="62"/>
    </row>
    <row r="73" spans="1:11">
      <c r="B73" s="60"/>
      <c r="C73" s="58"/>
    </row>
    <row r="74" spans="1:11">
      <c r="B74" s="60"/>
      <c r="C74" s="58"/>
    </row>
    <row r="75" spans="1:11">
      <c r="B75" s="60"/>
      <c r="C75" s="58"/>
    </row>
    <row r="76" spans="1:11">
      <c r="B76" s="60"/>
      <c r="C76" s="58"/>
    </row>
    <row r="77" spans="1:11">
      <c r="B77" s="60"/>
      <c r="C77" s="58"/>
    </row>
    <row r="78" spans="1:11">
      <c r="B78" s="60"/>
      <c r="C78" s="58"/>
    </row>
    <row r="79" spans="1:11">
      <c r="B79" s="60"/>
      <c r="C79" s="58"/>
    </row>
    <row r="80" spans="1:11">
      <c r="B80" s="60"/>
      <c r="C80" s="58"/>
      <c r="H80" s="62"/>
      <c r="I80" s="62"/>
      <c r="J80" s="62"/>
      <c r="K80" s="62"/>
    </row>
    <row r="81" spans="1:13">
      <c r="B81" s="60"/>
      <c r="C81" s="58"/>
      <c r="H81" s="62"/>
      <c r="I81" s="62"/>
      <c r="J81" s="62"/>
      <c r="K81" s="62"/>
    </row>
    <row r="82" spans="1:13">
      <c r="B82" s="60"/>
      <c r="C82" s="58"/>
    </row>
    <row r="83" spans="1:13">
      <c r="B83" s="60"/>
      <c r="C83" s="58"/>
    </row>
    <row r="84" spans="1:13">
      <c r="B84" s="60"/>
      <c r="C84" s="58"/>
    </row>
    <row r="85" spans="1:13">
      <c r="B85" s="60"/>
      <c r="C85" s="58"/>
    </row>
    <row r="86" spans="1:13">
      <c r="B86" s="60"/>
      <c r="C86" s="58"/>
    </row>
    <row r="87" spans="1:13" s="59" customFormat="1">
      <c r="A87" s="1"/>
      <c r="B87" s="60"/>
      <c r="C87" s="58"/>
      <c r="E87" s="61"/>
      <c r="F87" s="3"/>
      <c r="G87" s="3"/>
      <c r="H87" s="3"/>
      <c r="I87" s="3"/>
      <c r="J87" s="3"/>
      <c r="K87" s="3"/>
      <c r="L87" s="3"/>
      <c r="M87" s="3"/>
    </row>
    <row r="88" spans="1:13" s="59" customFormat="1">
      <c r="A88" s="1"/>
      <c r="B88" s="60"/>
      <c r="C88" s="58"/>
      <c r="E88" s="61"/>
      <c r="F88" s="3"/>
      <c r="G88" s="3"/>
      <c r="H88" s="3"/>
      <c r="I88" s="3"/>
      <c r="J88" s="3"/>
      <c r="K88" s="3"/>
      <c r="L88" s="3"/>
      <c r="M88" s="3"/>
    </row>
    <row r="89" spans="1:13" s="59" customFormat="1">
      <c r="A89" s="1"/>
      <c r="B89" s="60"/>
      <c r="C89" s="58"/>
      <c r="E89" s="61"/>
      <c r="F89" s="3"/>
      <c r="G89" s="3"/>
      <c r="H89" s="3"/>
      <c r="I89" s="3"/>
      <c r="J89" s="3"/>
      <c r="K89" s="3"/>
      <c r="L89" s="3"/>
      <c r="M89" s="3"/>
    </row>
    <row r="90" spans="1:13" s="59" customFormat="1">
      <c r="A90" s="1"/>
      <c r="B90" s="60"/>
      <c r="C90" s="58"/>
      <c r="E90" s="61"/>
      <c r="F90" s="3"/>
      <c r="G90" s="3"/>
      <c r="H90" s="3"/>
      <c r="I90" s="3"/>
      <c r="J90" s="3"/>
      <c r="K90" s="3"/>
      <c r="L90" s="3"/>
      <c r="M90" s="3"/>
    </row>
    <row r="91" spans="1:13" s="59" customFormat="1">
      <c r="A91" s="1"/>
      <c r="B91" s="60"/>
      <c r="C91" s="58"/>
      <c r="E91" s="61"/>
      <c r="F91" s="3"/>
      <c r="G91" s="3"/>
      <c r="H91" s="3"/>
      <c r="I91" s="3"/>
      <c r="J91" s="3"/>
      <c r="K91" s="3"/>
      <c r="L91" s="3"/>
      <c r="M91" s="3"/>
    </row>
    <row r="92" spans="1:13" s="59" customFormat="1">
      <c r="A92" s="1"/>
      <c r="B92" s="60"/>
      <c r="C92" s="58"/>
      <c r="E92" s="61"/>
      <c r="F92" s="3"/>
      <c r="G92" s="3"/>
      <c r="H92" s="3"/>
      <c r="I92" s="3"/>
      <c r="J92" s="3"/>
      <c r="K92" s="3"/>
      <c r="L92" s="3"/>
      <c r="M92" s="3"/>
    </row>
    <row r="93" spans="1:13" s="59" customFormat="1">
      <c r="A93" s="1"/>
      <c r="B93" s="60"/>
      <c r="C93" s="58"/>
      <c r="E93" s="61"/>
      <c r="F93" s="3"/>
      <c r="G93" s="3"/>
      <c r="H93" s="3"/>
      <c r="I93" s="3"/>
      <c r="J93" s="3"/>
      <c r="K93" s="3"/>
      <c r="L93" s="3"/>
      <c r="M93" s="3"/>
    </row>
    <row r="94" spans="1:13" s="59" customFormat="1">
      <c r="A94" s="1"/>
      <c r="B94" s="60"/>
      <c r="C94" s="58"/>
      <c r="E94" s="61"/>
      <c r="F94" s="3"/>
      <c r="G94" s="3"/>
      <c r="H94" s="3"/>
      <c r="I94" s="3"/>
      <c r="J94" s="3"/>
      <c r="K94" s="3"/>
      <c r="L94" s="3"/>
      <c r="M94" s="3"/>
    </row>
    <row r="95" spans="1:13" s="59" customFormat="1">
      <c r="A95" s="1"/>
      <c r="B95" s="60"/>
      <c r="C95" s="58"/>
      <c r="E95" s="61"/>
      <c r="F95" s="3"/>
      <c r="G95" s="3"/>
      <c r="H95" s="3"/>
      <c r="I95" s="3"/>
      <c r="J95" s="3"/>
      <c r="K95" s="3"/>
      <c r="L95" s="3"/>
      <c r="M95" s="3"/>
    </row>
    <row r="96" spans="1:13" s="59" customFormat="1">
      <c r="A96" s="1"/>
      <c r="B96" s="60"/>
      <c r="C96" s="58"/>
      <c r="E96" s="61"/>
      <c r="F96" s="3"/>
      <c r="G96" s="3"/>
      <c r="H96" s="3"/>
      <c r="I96" s="3"/>
      <c r="J96" s="3"/>
      <c r="K96" s="3"/>
      <c r="L96" s="3"/>
      <c r="M96" s="3"/>
    </row>
    <row r="97" spans="1:13" s="59" customFormat="1">
      <c r="A97" s="1"/>
      <c r="B97" s="60"/>
      <c r="C97" s="58"/>
      <c r="E97" s="61"/>
      <c r="F97" s="3"/>
      <c r="G97" s="3"/>
      <c r="H97" s="3"/>
      <c r="I97" s="3"/>
      <c r="J97" s="3"/>
      <c r="K97" s="3"/>
      <c r="L97" s="3"/>
      <c r="M97" s="3"/>
    </row>
    <row r="98" spans="1:13" s="59" customFormat="1">
      <c r="A98" s="1"/>
      <c r="B98" s="60"/>
      <c r="C98" s="58"/>
      <c r="E98" s="61"/>
      <c r="F98" s="3"/>
      <c r="G98" s="3"/>
      <c r="H98" s="3"/>
      <c r="I98" s="3"/>
      <c r="J98" s="3"/>
      <c r="K98" s="3"/>
      <c r="L98" s="3"/>
      <c r="M98" s="3"/>
    </row>
    <row r="99" spans="1:13" s="59" customFormat="1">
      <c r="A99" s="1"/>
      <c r="B99" s="60"/>
      <c r="C99" s="58"/>
      <c r="E99" s="61"/>
      <c r="F99" s="3"/>
      <c r="G99" s="3"/>
      <c r="H99" s="3"/>
      <c r="I99" s="3"/>
      <c r="J99" s="3"/>
      <c r="K99" s="3"/>
      <c r="L99" s="3"/>
      <c r="M99" s="3"/>
    </row>
    <row r="100" spans="1:13" s="59" customFormat="1">
      <c r="A100" s="1"/>
      <c r="B100" s="60"/>
      <c r="C100" s="58"/>
      <c r="E100" s="61"/>
      <c r="F100" s="3"/>
      <c r="G100" s="3"/>
      <c r="H100" s="3"/>
      <c r="I100" s="3"/>
      <c r="J100" s="3"/>
      <c r="K100" s="3"/>
      <c r="L100" s="3"/>
      <c r="M100" s="3"/>
    </row>
    <row r="101" spans="1:13" s="59" customFormat="1">
      <c r="A101" s="1"/>
      <c r="B101" s="60"/>
      <c r="C101" s="58"/>
      <c r="E101" s="61"/>
      <c r="F101" s="3"/>
      <c r="G101" s="3"/>
      <c r="H101" s="3"/>
      <c r="I101" s="3"/>
      <c r="J101" s="3"/>
      <c r="K101" s="3"/>
      <c r="L101" s="3"/>
      <c r="M101" s="3"/>
    </row>
    <row r="102" spans="1:13" s="59" customFormat="1">
      <c r="A102" s="1"/>
      <c r="B102" s="60"/>
      <c r="C102" s="58"/>
      <c r="E102" s="61"/>
      <c r="F102" s="3"/>
      <c r="G102" s="3"/>
      <c r="H102" s="3"/>
      <c r="I102" s="3"/>
      <c r="J102" s="3"/>
      <c r="K102" s="3"/>
      <c r="L102" s="3"/>
      <c r="M102" s="3"/>
    </row>
    <row r="103" spans="1:13" s="59" customFormat="1">
      <c r="A103" s="1"/>
      <c r="B103" s="60"/>
      <c r="C103" s="58"/>
      <c r="E103" s="61"/>
      <c r="F103" s="3"/>
      <c r="G103" s="3"/>
      <c r="H103" s="3"/>
      <c r="I103" s="3"/>
      <c r="J103" s="3"/>
      <c r="K103" s="3"/>
      <c r="L103" s="3"/>
      <c r="M103" s="3"/>
    </row>
    <row r="104" spans="1:13" s="59" customFormat="1">
      <c r="A104" s="1"/>
      <c r="B104" s="60"/>
      <c r="C104" s="58"/>
      <c r="E104" s="61"/>
      <c r="F104" s="3"/>
      <c r="G104" s="3"/>
      <c r="H104" s="3"/>
      <c r="I104" s="3"/>
      <c r="J104" s="3"/>
      <c r="K104" s="3"/>
      <c r="L104" s="3"/>
      <c r="M104" s="3"/>
    </row>
    <row r="105" spans="1:13" s="59" customFormat="1">
      <c r="A105" s="1"/>
      <c r="B105" s="60"/>
      <c r="C105" s="58"/>
      <c r="E105" s="61"/>
      <c r="F105" s="3"/>
      <c r="G105" s="3"/>
      <c r="H105" s="3"/>
      <c r="I105" s="3"/>
      <c r="J105" s="3"/>
      <c r="K105" s="3"/>
      <c r="L105" s="3"/>
      <c r="M105" s="3"/>
    </row>
    <row r="106" spans="1:13" s="59" customFormat="1">
      <c r="A106" s="1"/>
      <c r="B106" s="60"/>
      <c r="C106" s="58"/>
      <c r="E106" s="61"/>
      <c r="F106" s="3"/>
      <c r="G106" s="3"/>
      <c r="H106" s="3"/>
      <c r="I106" s="3"/>
      <c r="J106" s="3"/>
      <c r="K106" s="3"/>
      <c r="L106" s="3"/>
      <c r="M106" s="3"/>
    </row>
    <row r="107" spans="1:13" s="59" customFormat="1">
      <c r="A107" s="1"/>
      <c r="B107" s="60"/>
      <c r="C107" s="58"/>
      <c r="E107" s="61"/>
      <c r="F107" s="3"/>
      <c r="G107" s="3"/>
      <c r="H107" s="3"/>
      <c r="I107" s="3"/>
      <c r="J107" s="3"/>
      <c r="K107" s="3"/>
      <c r="L107" s="3"/>
      <c r="M107" s="3"/>
    </row>
    <row r="108" spans="1:13" s="59" customFormat="1">
      <c r="A108" s="1"/>
      <c r="B108" s="60"/>
      <c r="C108" s="58"/>
      <c r="E108" s="61"/>
      <c r="F108" s="3"/>
      <c r="G108" s="3"/>
      <c r="H108" s="3"/>
      <c r="I108" s="3"/>
      <c r="J108" s="3"/>
      <c r="K108" s="3"/>
      <c r="L108" s="3"/>
      <c r="M108" s="3"/>
    </row>
  </sheetData>
  <mergeCells count="22">
    <mergeCell ref="A6:B6"/>
    <mergeCell ref="C6:E6"/>
    <mergeCell ref="C2:E2"/>
    <mergeCell ref="C3:E3"/>
    <mergeCell ref="A4:E4"/>
    <mergeCell ref="A5:B5"/>
    <mergeCell ref="C5:E5"/>
    <mergeCell ref="A7:B7"/>
    <mergeCell ref="C7:E7"/>
    <mergeCell ref="A8:B8"/>
    <mergeCell ref="C8:E8"/>
    <mergeCell ref="A9:B9"/>
    <mergeCell ref="C9:E9"/>
    <mergeCell ref="H17:L17"/>
    <mergeCell ref="A59:E59"/>
    <mergeCell ref="A71:E71"/>
    <mergeCell ref="A10:B10"/>
    <mergeCell ref="C10:E10"/>
    <mergeCell ref="A11:B11"/>
    <mergeCell ref="C11:E11"/>
    <mergeCell ref="A12:B12"/>
    <mergeCell ref="A13:E13"/>
  </mergeCells>
  <printOptions horizontalCentered="1"/>
  <pageMargins left="0.51181102362204722" right="0.51181102362204722" top="0.55118110236220474" bottom="0.55118110236220474" header="0.31496062992125984" footer="0.31496062992125984"/>
  <pageSetup scale="60" orientation="portrait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78+5%</vt:lpstr>
      <vt:lpstr>энергосбер78</vt:lpstr>
      <vt:lpstr>78+9% (л.кл+двор)</vt:lpstr>
      <vt:lpstr>78+5% (л.кл+двор)</vt:lpstr>
      <vt:lpstr>'78+5%'!Область_печати</vt:lpstr>
      <vt:lpstr>'78+5% (л.кл+двор)'!Область_печати</vt:lpstr>
      <vt:lpstr>'78+9% (л.кл+двор)'!Область_печати</vt:lpstr>
      <vt:lpstr>энергосбер78!Область_печати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2017-03-02T05:28:00Z</cp:lastPrinted>
  <dcterms:created xsi:type="dcterms:W3CDTF">2016-11-20T10:17:45Z</dcterms:created>
  <dcterms:modified xsi:type="dcterms:W3CDTF">2018-03-06T03:52:53Z</dcterms:modified>
</cp:coreProperties>
</file>