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отчет 2014" sheetId="1" r:id="rId1"/>
  </sheets>
  <definedNames>
    <definedName name="_xlnm.Print_Area" localSheetId="0">'отчет 2014'!$A$1:$V$49</definedName>
  </definedNames>
  <calcPr calcId="125725"/>
</workbook>
</file>

<file path=xl/calcChain.xml><?xml version="1.0" encoding="utf-8"?>
<calcChain xmlns="http://schemas.openxmlformats.org/spreadsheetml/2006/main">
  <c r="D45" i="1"/>
  <c r="D43"/>
  <c r="D42"/>
  <c r="D38"/>
  <c r="D22"/>
  <c r="D21"/>
  <c r="D2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10"/>
  <c r="D10"/>
  <c r="D16"/>
  <c r="E16" s="1"/>
  <c r="N16" s="1"/>
  <c r="E20"/>
  <c r="N20" s="1"/>
  <c r="E21"/>
  <c r="D28"/>
  <c r="E28" s="1"/>
  <c r="N28" s="1"/>
  <c r="E34"/>
  <c r="N34" s="1"/>
  <c r="E35"/>
  <c r="N35" s="1"/>
  <c r="E36"/>
  <c r="E37"/>
  <c r="N37" s="1"/>
  <c r="D39"/>
  <c r="E38" s="1"/>
  <c r="N38" s="1"/>
  <c r="D41"/>
  <c r="V43"/>
  <c r="W41"/>
  <c r="X41" s="1"/>
  <c r="N41"/>
  <c r="V40"/>
  <c r="N40"/>
  <c r="X39"/>
  <c r="W39"/>
  <c r="N39"/>
  <c r="N36"/>
  <c r="N33"/>
  <c r="N32"/>
  <c r="N31"/>
  <c r="N30"/>
  <c r="N29"/>
  <c r="N27"/>
  <c r="X26"/>
  <c r="W26"/>
  <c r="N26"/>
  <c r="N25"/>
  <c r="X29"/>
  <c r="N24"/>
  <c r="Y23"/>
  <c r="Z23" s="1"/>
  <c r="AA23" s="1"/>
  <c r="X23"/>
  <c r="N23"/>
  <c r="X22"/>
  <c r="Y22" s="1"/>
  <c r="Y21"/>
  <c r="X21"/>
  <c r="X20"/>
  <c r="Y20" s="1"/>
  <c r="P20"/>
  <c r="X19"/>
  <c r="Y19" s="1"/>
  <c r="N19"/>
  <c r="X18"/>
  <c r="W18"/>
  <c r="P18"/>
  <c r="N18"/>
  <c r="W17"/>
  <c r="X17" s="1"/>
  <c r="S17"/>
  <c r="P17"/>
  <c r="N17"/>
  <c r="X16"/>
  <c r="Y16" s="1"/>
  <c r="X15"/>
  <c r="Y15" s="1"/>
  <c r="Z15" s="1"/>
  <c r="AA15" s="1"/>
  <c r="N15"/>
  <c r="Y14"/>
  <c r="N14"/>
  <c r="W13"/>
  <c r="X13" s="1"/>
  <c r="Q13"/>
  <c r="R13" s="1"/>
  <c r="N13"/>
  <c r="W12"/>
  <c r="X12" s="1"/>
  <c r="N12"/>
  <c r="X11"/>
  <c r="W11"/>
  <c r="Y11" s="1"/>
  <c r="N11"/>
  <c r="D8"/>
  <c r="Y18" l="1"/>
  <c r="E22"/>
  <c r="N22" s="1"/>
  <c r="E10"/>
  <c r="N10"/>
  <c r="N21"/>
  <c r="I12"/>
  <c r="Y12"/>
  <c r="Y13"/>
  <c r="Y17"/>
  <c r="P23"/>
  <c r="W40"/>
  <c r="X40" s="1"/>
  <c r="Z18" l="1"/>
  <c r="E42"/>
  <c r="E43"/>
  <c r="Z13"/>
  <c r="E44" l="1"/>
  <c r="N44" s="1"/>
  <c r="N43"/>
  <c r="D44"/>
  <c r="N42"/>
</calcChain>
</file>

<file path=xl/sharedStrings.xml><?xml version="1.0" encoding="utf-8"?>
<sst xmlns="http://schemas.openxmlformats.org/spreadsheetml/2006/main" count="134" uniqueCount="122">
  <si>
    <t>по адресу: г.Новосибирск, ул.Рябиновая д.10/1</t>
  </si>
  <si>
    <t>Характеристика МКД</t>
  </si>
  <si>
    <t>Количество подъездов</t>
  </si>
  <si>
    <t>Количество квартир</t>
  </si>
  <si>
    <t>Общая площадь (жилая, нежилая)</t>
  </si>
  <si>
    <t>Начислено за 2010г.</t>
  </si>
  <si>
    <t>№ п/п</t>
  </si>
  <si>
    <t>Перечень обязательных работ и услуг</t>
  </si>
  <si>
    <t>Периодичность выполнения работ и услуг</t>
  </si>
  <si>
    <t>Стоимость работ и услуг за 2012г., руб.</t>
  </si>
  <si>
    <t>Стоимость работ и услуг на 1 кв.м. общей площади, руб.</t>
  </si>
  <si>
    <t>Текущее содержание внутридомового инженерного оборудования</t>
  </si>
  <si>
    <t>Проведение технических осмотров , профилактический  ремонт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испытания. Ежемесячное обслуживание и поверка КИПов. Прочистка и промывка сиситемы канализации 1 раз в год.</t>
  </si>
  <si>
    <t>1.1</t>
  </si>
  <si>
    <t>ФОТ</t>
  </si>
  <si>
    <t>з/пл сантехника, з/пл электрика, з/пл 0,5ст инженера</t>
  </si>
  <si>
    <t>матер</t>
  </si>
  <si>
    <t>уборщ.з.пл</t>
  </si>
  <si>
    <t>1.2</t>
  </si>
  <si>
    <t>Страховые взносы, 20,2%</t>
  </si>
  <si>
    <t>п 1.1*20,,2%</t>
  </si>
  <si>
    <t>двор</t>
  </si>
  <si>
    <t>1.3</t>
  </si>
  <si>
    <t>Материалы</t>
  </si>
  <si>
    <t>(лампочки, вентиля, редуктора, монометры)</t>
  </si>
  <si>
    <t>инж</t>
  </si>
  <si>
    <t>1.4</t>
  </si>
  <si>
    <t>Спец.одежда, инструмент</t>
  </si>
  <si>
    <t>1.5</t>
  </si>
  <si>
    <t>Услуги сторонних орг-ций (Аскон, Сибирь-энерго)</t>
  </si>
  <si>
    <t>Ежемесячное обслуживание, поверка КИПов, вызов инспектора.</t>
  </si>
  <si>
    <t>элек</t>
  </si>
  <si>
    <t>2</t>
  </si>
  <si>
    <t>Текущее содержание конструктивных элементов жилых домов</t>
  </si>
  <si>
    <r>
      <t xml:space="preserve">Тех/осмотр конструктивных элементов здания в комплексе (кровля, стены,окна ,двери, фундамент, отмостка…) с составлением дефектной ведомости - 2 раза в год, Уборка подвала и тех/этажа - 2 раза в год. </t>
    </r>
    <r>
      <rPr>
        <i/>
        <sz val="10"/>
        <color indexed="8"/>
        <rFont val="Times New Roman"/>
        <family val="1"/>
        <charset val="204"/>
      </rPr>
      <t>В зимний период:</t>
    </r>
    <r>
      <rPr>
        <sz val="10"/>
        <color indexed="8"/>
        <rFont val="Times New Roman"/>
        <family val="1"/>
        <charset val="204"/>
      </rPr>
      <t xml:space="preserve"> Очистка козырьков подъездов от снега и наледи - 4 раза в год. Уборка и очистка от снега пожарных переходов 2-17 эт. - 1- раз в мес.</t>
    </r>
  </si>
  <si>
    <t>2.1</t>
  </si>
  <si>
    <t>мастер, з/плата 0,5 ст. инженера</t>
  </si>
  <si>
    <t>аскон</t>
  </si>
  <si>
    <t>эл.счетч.</t>
  </si>
  <si>
    <t>сл</t>
  </si>
  <si>
    <t>2.2</t>
  </si>
  <si>
    <t>п 2.1*20,2%</t>
  </si>
  <si>
    <t>новодом</t>
  </si>
  <si>
    <t>2.3</t>
  </si>
  <si>
    <t>ремонт фасада</t>
  </si>
  <si>
    <t>рант</t>
  </si>
  <si>
    <t>3</t>
  </si>
  <si>
    <t>Текущий ремонт</t>
  </si>
  <si>
    <t>Устройство противоскользящих покрытий в тамбурах, ремонт дверных коробок, дверных полотен, установка пружин, восстановление ограждений, восстановление тротуарной плитки</t>
  </si>
  <si>
    <t>д.14</t>
  </si>
  <si>
    <t>укладка плитки, материал</t>
  </si>
  <si>
    <t>видеокам.</t>
  </si>
  <si>
    <t>4</t>
  </si>
  <si>
    <t>Аварийно-диспетчерское обслуживание</t>
  </si>
  <si>
    <t>круглосуточно на системах отопления, водоснабжения, водоотведения и электроснабжения</t>
  </si>
  <si>
    <t>5</t>
  </si>
  <si>
    <t>Уборка лестничных клеток</t>
  </si>
  <si>
    <t>плотник</t>
  </si>
  <si>
    <t>4.1</t>
  </si>
  <si>
    <t xml:space="preserve">з/пл уборщик лестн.клеток </t>
  </si>
  <si>
    <t>мастер</t>
  </si>
  <si>
    <t>4.2</t>
  </si>
  <si>
    <t>п 4.1 * 20,2%</t>
  </si>
  <si>
    <t>4.3</t>
  </si>
  <si>
    <t>Инвентарь</t>
  </si>
  <si>
    <t>(швабра, ведро, совок, халат,фартук, щетка) 1 раз в год</t>
  </si>
  <si>
    <t>4.4</t>
  </si>
  <si>
    <t>инж.</t>
  </si>
  <si>
    <t>4.5</t>
  </si>
  <si>
    <t>Водоснабжение</t>
  </si>
  <si>
    <r>
      <t>х/в (мытье подъездов, окон) 2,5 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/мес</t>
    </r>
  </si>
  <si>
    <t>6</t>
  </si>
  <si>
    <t>Уборка дворовой территории</t>
  </si>
  <si>
    <t>5.1</t>
  </si>
  <si>
    <t>з/пл дворника</t>
  </si>
  <si>
    <t>5.2</t>
  </si>
  <si>
    <t>п 5.1 * 20,2%</t>
  </si>
  <si>
    <t>5.3</t>
  </si>
  <si>
    <t>Спец.одежда, инвентарь</t>
  </si>
  <si>
    <t>5.4</t>
  </si>
  <si>
    <t>вывоз снега</t>
  </si>
  <si>
    <t>5.5</t>
  </si>
  <si>
    <r>
      <t>потребление х.в для МОП (полив газонов в летний период 38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) </t>
    </r>
  </si>
  <si>
    <t>7</t>
  </si>
  <si>
    <t>Благоустройство</t>
  </si>
  <si>
    <t>Ремонт и покраска малых форм и ограждений на газонах, восстановление поребриков, восстановление и оформление газонов, ремонт контейнеров.</t>
  </si>
  <si>
    <t>шлагб., клумбы</t>
  </si>
  <si>
    <t>8</t>
  </si>
  <si>
    <t>Дератизация, дезинсекция</t>
  </si>
  <si>
    <t>с сентября по апрель</t>
  </si>
  <si>
    <t>9</t>
  </si>
  <si>
    <t>Вывоз и утилизация ТБО</t>
  </si>
  <si>
    <t>ежедневно</t>
  </si>
  <si>
    <t>10</t>
  </si>
  <si>
    <t>Вывоз и утилизация КГО</t>
  </si>
  <si>
    <t>по мере необходимости (1 раз в неделю)</t>
  </si>
  <si>
    <t>11</t>
  </si>
  <si>
    <t>Общеэксплуатационные расходы</t>
  </si>
  <si>
    <t>Организация работы с населением, услуги паспортного стола, начисление и прием платежей, услуги банка.</t>
  </si>
  <si>
    <t>9.1</t>
  </si>
  <si>
    <t>з/пл кассира, з/пл паспортиста</t>
  </si>
  <si>
    <t>пасп</t>
  </si>
  <si>
    <t>9.2</t>
  </si>
  <si>
    <t>п 9.1 * 20,2%</t>
  </si>
  <si>
    <t>оф.</t>
  </si>
  <si>
    <t>9.4</t>
  </si>
  <si>
    <t>Прочие расходы</t>
  </si>
  <si>
    <t>усл.банка, програмное обеспеч.,ТО кассового аппарата аттестация персонала</t>
  </si>
  <si>
    <t>кас.</t>
  </si>
  <si>
    <t>12</t>
  </si>
  <si>
    <t xml:space="preserve">ИТОГО расходов </t>
  </si>
  <si>
    <t>пр.ряб</t>
  </si>
  <si>
    <t>13</t>
  </si>
  <si>
    <t>Расходы на управление</t>
  </si>
  <si>
    <t>пр.общ</t>
  </si>
  <si>
    <t>14</t>
  </si>
  <si>
    <t>ИТОГО расходов с управлением</t>
  </si>
  <si>
    <t>ИТОГО расходов с 1 кв.м в месяц</t>
  </si>
  <si>
    <t>ООО "Управляющая Компания "ЖЭУ"</t>
  </si>
  <si>
    <t>31.03.2013г.</t>
  </si>
  <si>
    <t>Отчет по содержанию и текущему обслуживанию общего имущества многоквартирного дома</t>
  </si>
  <si>
    <t xml:space="preserve"> 2014 год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</si>
</sst>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2" fontId="2" fillId="0" borderId="0" xfId="0" applyNumberFormat="1" applyFont="1"/>
    <xf numFmtId="2" fontId="6" fillId="0" borderId="1" xfId="1" applyNumberFormat="1" applyFont="1" applyBorder="1" applyAlignment="1">
      <alignment horizont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wrapText="1"/>
    </xf>
    <xf numFmtId="0" fontId="3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wrapText="1"/>
    </xf>
    <xf numFmtId="0" fontId="2" fillId="0" borderId="0" xfId="0" applyFont="1" applyFill="1"/>
    <xf numFmtId="4" fontId="6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6" fillId="2" borderId="1" xfId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horizontal="center" wrapText="1"/>
    </xf>
    <xf numFmtId="2" fontId="2" fillId="0" borderId="0" xfId="0" applyNumberFormat="1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6" fillId="2" borderId="1" xfId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wrapText="1"/>
    </xf>
    <xf numFmtId="2" fontId="6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2" fontId="4" fillId="0" borderId="0" xfId="1" applyNumberFormat="1" applyFont="1" applyBorder="1" applyAlignment="1">
      <alignment horizontal="center"/>
    </xf>
    <xf numFmtId="4" fontId="4" fillId="0" borderId="0" xfId="1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Raschet na Sod i Re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54"/>
  <sheetViews>
    <sheetView tabSelected="1" view="pageBreakPreview" topLeftCell="A19" zoomScale="85" zoomScaleNormal="100" zoomScaleSheetLayoutView="85" workbookViewId="0">
      <selection activeCell="C50" sqref="C50"/>
    </sheetView>
  </sheetViews>
  <sheetFormatPr defaultRowHeight="12.75"/>
  <cols>
    <col min="1" max="1" width="3.5703125" style="1" customWidth="1"/>
    <col min="2" max="2" width="25.28515625" style="2" customWidth="1"/>
    <col min="3" max="3" width="46.85546875" style="2" customWidth="1"/>
    <col min="4" max="4" width="13.28515625" style="4" customWidth="1"/>
    <col min="5" max="5" width="11" style="2" customWidth="1"/>
    <col min="6" max="6" width="18.42578125" style="2" hidden="1" customWidth="1"/>
    <col min="7" max="7" width="10.7109375" style="2" hidden="1" customWidth="1"/>
    <col min="8" max="22" width="9.140625" style="2" hidden="1" customWidth="1"/>
    <col min="23" max="23" width="11" style="2" hidden="1" customWidth="1"/>
    <col min="24" max="24" width="9.140625" style="2" hidden="1" customWidth="1"/>
    <col min="25" max="29" width="0" style="2" hidden="1" customWidth="1"/>
    <col min="30" max="30" width="9.140625" style="2"/>
    <col min="31" max="31" width="9.28515625" style="2" bestFit="1" customWidth="1"/>
    <col min="32" max="33" width="11.7109375" style="67" bestFit="1" customWidth="1"/>
    <col min="34" max="43" width="21.28515625" style="67" customWidth="1"/>
    <col min="44" max="16384" width="9.140625" style="2"/>
  </cols>
  <sheetData>
    <row r="1" spans="1:43" ht="19.5" customHeight="1">
      <c r="C1" s="66" t="s">
        <v>120</v>
      </c>
    </row>
    <row r="2" spans="1:43">
      <c r="C2" s="3" t="s">
        <v>0</v>
      </c>
    </row>
    <row r="3" spans="1:43">
      <c r="C3" s="3" t="s">
        <v>121</v>
      </c>
    </row>
    <row r="4" spans="1:43">
      <c r="C4" s="5" t="s">
        <v>1</v>
      </c>
      <c r="D4" s="6"/>
      <c r="E4" s="1"/>
      <c r="F4" s="1"/>
    </row>
    <row r="5" spans="1:43">
      <c r="C5" s="7" t="s">
        <v>2</v>
      </c>
      <c r="D5" s="6">
        <v>12</v>
      </c>
      <c r="E5" s="1"/>
      <c r="F5" s="1"/>
    </row>
    <row r="6" spans="1:43">
      <c r="C6" s="7" t="s">
        <v>3</v>
      </c>
      <c r="D6" s="6">
        <v>776</v>
      </c>
      <c r="E6" s="1"/>
      <c r="F6" s="1"/>
    </row>
    <row r="7" spans="1:43">
      <c r="C7" s="8" t="s">
        <v>4</v>
      </c>
      <c r="D7" s="6">
        <v>32377.1</v>
      </c>
      <c r="F7" s="1">
        <v>3599.4</v>
      </c>
      <c r="G7" s="1">
        <v>908.7</v>
      </c>
    </row>
    <row r="8" spans="1:43" hidden="1">
      <c r="C8" s="8" t="s">
        <v>5</v>
      </c>
      <c r="D8" s="6">
        <f>1629434.54</f>
        <v>1629434.54</v>
      </c>
      <c r="F8" s="1"/>
      <c r="G8" s="1"/>
    </row>
    <row r="9" spans="1:43" ht="63.75" customHeight="1">
      <c r="A9" s="7" t="s">
        <v>6</v>
      </c>
      <c r="B9" s="9" t="s">
        <v>7</v>
      </c>
      <c r="C9" s="10" t="s">
        <v>8</v>
      </c>
      <c r="D9" s="11" t="s">
        <v>9</v>
      </c>
      <c r="E9" s="12" t="s">
        <v>10</v>
      </c>
      <c r="AF9" s="71">
        <v>32344.54</v>
      </c>
      <c r="AG9" s="71">
        <v>32377.1</v>
      </c>
    </row>
    <row r="10" spans="1:43" ht="108.75" customHeight="1">
      <c r="A10" s="13">
        <v>1</v>
      </c>
      <c r="B10" s="14" t="s">
        <v>11</v>
      </c>
      <c r="C10" s="15" t="s">
        <v>12</v>
      </c>
      <c r="D10" s="16">
        <f>SUM(D11:D15)</f>
        <v>1511502.0506079542</v>
      </c>
      <c r="E10" s="17">
        <f>D10/D7</f>
        <v>46.684293856088232</v>
      </c>
      <c r="H10" s="18">
        <v>476609.12</v>
      </c>
      <c r="N10" s="2">
        <f t="shared" ref="N10:N44" si="0">E10/12</f>
        <v>3.890357821340686</v>
      </c>
      <c r="AF10" s="71">
        <v>1509982.01</v>
      </c>
      <c r="AG10" s="71">
        <f>AF10*$AG$9/$AF$9</f>
        <v>1511502.0506079542</v>
      </c>
    </row>
    <row r="11" spans="1:43">
      <c r="A11" s="19" t="s">
        <v>13</v>
      </c>
      <c r="B11" s="20" t="s">
        <v>14</v>
      </c>
      <c r="C11" s="1" t="s">
        <v>15</v>
      </c>
      <c r="D11" s="11">
        <v>1300029.1831187273</v>
      </c>
      <c r="E11" s="12"/>
      <c r="H11" s="21" t="s">
        <v>16</v>
      </c>
      <c r="I11" s="21">
        <v>125242.1</v>
      </c>
      <c r="N11" s="2">
        <f t="shared" si="0"/>
        <v>0</v>
      </c>
      <c r="O11" s="2" t="s">
        <v>16</v>
      </c>
      <c r="P11" s="2">
        <v>167657</v>
      </c>
      <c r="V11" s="2" t="s">
        <v>17</v>
      </c>
      <c r="W11" s="2">
        <f>7935*8*12</f>
        <v>761760</v>
      </c>
      <c r="X11" s="2">
        <f>W11*20%</f>
        <v>152352</v>
      </c>
      <c r="Y11" s="2">
        <f t="shared" ref="Y11:Y23" si="1">W11+X11</f>
        <v>914112</v>
      </c>
      <c r="AF11" s="71">
        <v>1298721.81</v>
      </c>
      <c r="AG11" s="71">
        <f t="shared" ref="AG11:AG45" si="2">AF11*$AG$9/$AF$9</f>
        <v>1300029.1831187273</v>
      </c>
    </row>
    <row r="12" spans="1:43">
      <c r="A12" s="19" t="s">
        <v>18</v>
      </c>
      <c r="B12" s="20" t="s">
        <v>19</v>
      </c>
      <c r="C12" s="12" t="s">
        <v>20</v>
      </c>
      <c r="D12" s="11">
        <v>0</v>
      </c>
      <c r="E12" s="22"/>
      <c r="F12" s="23"/>
      <c r="G12" s="23"/>
      <c r="I12" s="21">
        <f>I11-D13-D21-40000-D19-D14-D34</f>
        <v>-226717.01188588707</v>
      </c>
      <c r="N12" s="2">
        <f t="shared" si="0"/>
        <v>0</v>
      </c>
      <c r="V12" s="2" t="s">
        <v>21</v>
      </c>
      <c r="W12" s="2">
        <f>270667.38</f>
        <v>270667.38</v>
      </c>
      <c r="X12" s="2">
        <f>W12*20.2%</f>
        <v>54674.81076</v>
      </c>
      <c r="Y12" s="2">
        <f t="shared" si="1"/>
        <v>325342.19076000003</v>
      </c>
      <c r="AF12" s="71"/>
      <c r="AG12" s="71">
        <f t="shared" si="2"/>
        <v>0</v>
      </c>
    </row>
    <row r="13" spans="1:43">
      <c r="A13" s="19" t="s">
        <v>22</v>
      </c>
      <c r="B13" s="20" t="s">
        <v>23</v>
      </c>
      <c r="C13" s="12" t="s">
        <v>24</v>
      </c>
      <c r="D13" s="11">
        <v>90090.599526226069</v>
      </c>
      <c r="E13" s="22"/>
      <c r="F13" s="23"/>
      <c r="G13" s="23"/>
      <c r="N13" s="2">
        <f t="shared" si="0"/>
        <v>0</v>
      </c>
      <c r="O13" s="2" t="s">
        <v>25</v>
      </c>
      <c r="P13" s="2">
        <v>9.69</v>
      </c>
      <c r="Q13" s="2">
        <f>P13*11062.35</f>
        <v>107194.1715</v>
      </c>
      <c r="R13" s="2">
        <f>Q13/2</f>
        <v>53597.085749999998</v>
      </c>
      <c r="W13" s="2">
        <f>8125*2*12</f>
        <v>195000</v>
      </c>
      <c r="X13" s="2">
        <f>W13*20%</f>
        <v>39000</v>
      </c>
      <c r="Y13" s="2">
        <f t="shared" si="1"/>
        <v>234000</v>
      </c>
      <c r="Z13" s="2">
        <f>SUM(Y12:Y13)</f>
        <v>559342.19076000003</v>
      </c>
      <c r="AF13" s="71">
        <v>90000</v>
      </c>
      <c r="AG13" s="71">
        <f t="shared" si="2"/>
        <v>90090.599526226069</v>
      </c>
    </row>
    <row r="14" spans="1:43">
      <c r="A14" s="19" t="s">
        <v>26</v>
      </c>
      <c r="B14" s="20" t="s">
        <v>27</v>
      </c>
      <c r="C14" s="12"/>
      <c r="D14" s="11">
        <v>0</v>
      </c>
      <c r="E14" s="22"/>
      <c r="F14" s="23"/>
      <c r="G14" s="23"/>
      <c r="N14" s="2">
        <f t="shared" si="0"/>
        <v>0</v>
      </c>
      <c r="Y14" s="2">
        <f t="shared" si="1"/>
        <v>0</v>
      </c>
      <c r="AF14" s="71"/>
      <c r="AG14" s="71">
        <f t="shared" si="2"/>
        <v>0</v>
      </c>
    </row>
    <row r="15" spans="1:43" ht="25.5">
      <c r="A15" s="19" t="s">
        <v>28</v>
      </c>
      <c r="B15" s="20" t="s">
        <v>29</v>
      </c>
      <c r="C15" s="12" t="s">
        <v>30</v>
      </c>
      <c r="D15" s="11">
        <v>121382.26796300085</v>
      </c>
      <c r="E15" s="22"/>
      <c r="F15" s="23"/>
      <c r="G15" s="23"/>
      <c r="N15" s="2">
        <f t="shared" si="0"/>
        <v>0</v>
      </c>
      <c r="V15" s="2" t="s">
        <v>31</v>
      </c>
      <c r="W15" s="2">
        <v>320301.15999999997</v>
      </c>
      <c r="X15" s="2">
        <f t="shared" ref="X15:X21" si="3">W15*20.2%</f>
        <v>64700.834319999987</v>
      </c>
      <c r="Y15" s="2">
        <f t="shared" si="1"/>
        <v>385001.99431999994</v>
      </c>
      <c r="Z15" s="2">
        <f>Y15/36679.54</f>
        <v>10.4963692107371</v>
      </c>
      <c r="AA15" s="2">
        <f>Z15*32344.54</f>
        <v>339500.23379145458</v>
      </c>
      <c r="AF15" s="71">
        <v>121260.2</v>
      </c>
      <c r="AG15" s="71">
        <f t="shared" si="2"/>
        <v>121382.26796300085</v>
      </c>
    </row>
    <row r="16" spans="1:43" s="26" customFormat="1" ht="92.25" customHeight="1">
      <c r="A16" s="24" t="s">
        <v>32</v>
      </c>
      <c r="B16" s="14" t="s">
        <v>33</v>
      </c>
      <c r="C16" s="25" t="s">
        <v>34</v>
      </c>
      <c r="D16" s="16">
        <f>SUM(D17:D19)</f>
        <v>458342.53173364029</v>
      </c>
      <c r="E16" s="17">
        <f>D16/D7</f>
        <v>14.156380025809609</v>
      </c>
      <c r="H16" s="26">
        <v>86286.33</v>
      </c>
      <c r="N16" s="2">
        <f t="shared" si="0"/>
        <v>1.1796983354841342</v>
      </c>
      <c r="X16" s="2">
        <f t="shared" si="3"/>
        <v>0</v>
      </c>
      <c r="Y16" s="2">
        <f t="shared" si="1"/>
        <v>0</v>
      </c>
      <c r="Z16" s="2"/>
      <c r="AA16" s="2"/>
      <c r="AF16" s="72">
        <v>457881.59999999998</v>
      </c>
      <c r="AG16" s="71">
        <f t="shared" si="2"/>
        <v>458342.53173364029</v>
      </c>
      <c r="AH16" s="68"/>
      <c r="AI16" s="68"/>
      <c r="AJ16" s="68"/>
      <c r="AK16" s="68"/>
      <c r="AL16" s="68"/>
      <c r="AM16" s="68"/>
      <c r="AN16" s="68"/>
      <c r="AO16" s="68"/>
      <c r="AP16" s="68"/>
      <c r="AQ16" s="68"/>
    </row>
    <row r="17" spans="1:43" s="26" customFormat="1">
      <c r="A17" s="27" t="s">
        <v>35</v>
      </c>
      <c r="B17" s="20" t="s">
        <v>14</v>
      </c>
      <c r="C17" s="28" t="s">
        <v>36</v>
      </c>
      <c r="D17" s="29">
        <v>458342.53173364029</v>
      </c>
      <c r="E17" s="30"/>
      <c r="G17" s="31"/>
      <c r="N17" s="2">
        <f t="shared" si="0"/>
        <v>0</v>
      </c>
      <c r="O17" s="31" t="s">
        <v>37</v>
      </c>
      <c r="P17" s="26">
        <f>3699.3*12</f>
        <v>44391.600000000006</v>
      </c>
      <c r="R17" s="26" t="s">
        <v>38</v>
      </c>
      <c r="S17" s="26">
        <f>9979.99+670.01+2973.61</f>
        <v>13623.61</v>
      </c>
      <c r="V17" s="31" t="s">
        <v>39</v>
      </c>
      <c r="W17" s="31">
        <f>174591.87+33787.78+184779.32</f>
        <v>393158.97</v>
      </c>
      <c r="X17" s="2">
        <f t="shared" si="3"/>
        <v>79418.111939999988</v>
      </c>
      <c r="Y17" s="2">
        <f t="shared" si="1"/>
        <v>472577.08193999995</v>
      </c>
      <c r="Z17" s="2"/>
      <c r="AA17" s="2"/>
      <c r="AF17" s="72">
        <v>457881.59999999998</v>
      </c>
      <c r="AG17" s="71">
        <f t="shared" si="2"/>
        <v>458342.53173364029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</row>
    <row r="18" spans="1:43" s="26" customFormat="1">
      <c r="A18" s="27" t="s">
        <v>40</v>
      </c>
      <c r="B18" s="20" t="s">
        <v>19</v>
      </c>
      <c r="C18" s="28" t="s">
        <v>41</v>
      </c>
      <c r="D18" s="32"/>
      <c r="E18" s="30"/>
      <c r="N18" s="2">
        <f t="shared" si="0"/>
        <v>0</v>
      </c>
      <c r="O18" s="26" t="s">
        <v>42</v>
      </c>
      <c r="P18" s="26">
        <f>2500*12</f>
        <v>30000</v>
      </c>
      <c r="W18" s="31">
        <f>153000+127500+124362.31</f>
        <v>404862.31</v>
      </c>
      <c r="X18" s="2">
        <f t="shared" si="3"/>
        <v>81782.186619999993</v>
      </c>
      <c r="Y18" s="2">
        <f t="shared" si="1"/>
        <v>486644.49661999999</v>
      </c>
      <c r="Z18" s="2">
        <f>SUM(Y17:Y18)</f>
        <v>959221.57855999994</v>
      </c>
      <c r="AA18" s="2"/>
      <c r="AF18" s="72"/>
      <c r="AG18" s="71">
        <f t="shared" si="2"/>
        <v>0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</row>
    <row r="19" spans="1:43" s="26" customFormat="1">
      <c r="A19" s="27" t="s">
        <v>43</v>
      </c>
      <c r="B19" s="33"/>
      <c r="C19" s="28"/>
      <c r="D19" s="29"/>
      <c r="E19" s="30"/>
      <c r="L19" s="31" t="s">
        <v>44</v>
      </c>
      <c r="N19" s="2">
        <f t="shared" si="0"/>
        <v>0</v>
      </c>
      <c r="R19" s="26" t="s">
        <v>45</v>
      </c>
      <c r="S19" s="26">
        <v>62580</v>
      </c>
      <c r="X19" s="2">
        <f t="shared" si="3"/>
        <v>0</v>
      </c>
      <c r="Y19" s="2">
        <f t="shared" si="1"/>
        <v>0</v>
      </c>
      <c r="Z19" s="2"/>
      <c r="AA19" s="2"/>
      <c r="AF19" s="72"/>
      <c r="AG19" s="71">
        <f t="shared" si="2"/>
        <v>0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</row>
    <row r="20" spans="1:43" s="31" customFormat="1" ht="51">
      <c r="A20" s="24" t="s">
        <v>46</v>
      </c>
      <c r="B20" s="14" t="s">
        <v>47</v>
      </c>
      <c r="C20" s="34" t="s">
        <v>48</v>
      </c>
      <c r="D20" s="16">
        <f>137520</f>
        <v>137520</v>
      </c>
      <c r="E20" s="35">
        <f>D20/D7</f>
        <v>4.247446497678915</v>
      </c>
      <c r="G20" s="36"/>
      <c r="H20" s="31">
        <v>130105</v>
      </c>
      <c r="I20" s="36">
        <v>149118</v>
      </c>
      <c r="J20" s="37">
        <v>90695.65</v>
      </c>
      <c r="K20" s="38" t="s">
        <v>49</v>
      </c>
      <c r="L20" s="31" t="s">
        <v>50</v>
      </c>
      <c r="N20" s="2">
        <f t="shared" si="0"/>
        <v>0.35395387480657625</v>
      </c>
      <c r="O20" s="31" t="s">
        <v>51</v>
      </c>
      <c r="P20" s="31">
        <f>1200*12</f>
        <v>14400</v>
      </c>
      <c r="X20" s="2">
        <f t="shared" si="3"/>
        <v>0</v>
      </c>
      <c r="Y20" s="2">
        <f t="shared" si="1"/>
        <v>0</v>
      </c>
      <c r="Z20" s="2"/>
      <c r="AA20" s="2"/>
      <c r="AF20" s="73">
        <v>137520</v>
      </c>
      <c r="AG20" s="71">
        <f t="shared" si="2"/>
        <v>137658.43607607341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1:43" ht="25.5">
      <c r="A21" s="13" t="s">
        <v>52</v>
      </c>
      <c r="B21" s="14" t="s">
        <v>53</v>
      </c>
      <c r="C21" s="39" t="s">
        <v>54</v>
      </c>
      <c r="D21" s="16">
        <f>(D11+D12)*5%</f>
        <v>65001.459155936369</v>
      </c>
      <c r="E21" s="17">
        <f>D21/D7</f>
        <v>2.007636853082468</v>
      </c>
      <c r="H21" s="31">
        <v>15929.78</v>
      </c>
      <c r="I21" s="31"/>
      <c r="J21" s="31"/>
      <c r="N21" s="2">
        <f t="shared" si="0"/>
        <v>0.16730307109020567</v>
      </c>
      <c r="X21" s="2">
        <f t="shared" si="3"/>
        <v>0</v>
      </c>
      <c r="Y21" s="2">
        <f t="shared" si="1"/>
        <v>0</v>
      </c>
      <c r="AF21" s="71">
        <v>64936.090500000006</v>
      </c>
      <c r="AG21" s="71">
        <f t="shared" si="2"/>
        <v>65001.459155936362</v>
      </c>
    </row>
    <row r="22" spans="1:43">
      <c r="A22" s="13" t="s">
        <v>55</v>
      </c>
      <c r="B22" s="14" t="s">
        <v>56</v>
      </c>
      <c r="C22" s="40"/>
      <c r="D22" s="41">
        <f>SUM(D23:D27)</f>
        <v>965082.53433809837</v>
      </c>
      <c r="E22" s="42">
        <f>D22/D7</f>
        <v>29.80756566641541</v>
      </c>
      <c r="H22" s="2">
        <v>208414.67</v>
      </c>
      <c r="J22" s="31"/>
      <c r="N22" s="2">
        <f t="shared" si="0"/>
        <v>2.4839638055346174</v>
      </c>
      <c r="V22" s="2" t="s">
        <v>57</v>
      </c>
      <c r="W22" s="2">
        <v>114600</v>
      </c>
      <c r="X22" s="2">
        <f>W22*20%</f>
        <v>22920</v>
      </c>
      <c r="Y22" s="2">
        <f t="shared" si="1"/>
        <v>137520</v>
      </c>
      <c r="AE22" s="4"/>
      <c r="AF22" s="71">
        <v>964112</v>
      </c>
      <c r="AG22" s="71">
        <f t="shared" si="2"/>
        <v>965082.53433809837</v>
      </c>
    </row>
    <row r="23" spans="1:43">
      <c r="A23" s="19" t="s">
        <v>58</v>
      </c>
      <c r="B23" s="43" t="s">
        <v>14</v>
      </c>
      <c r="C23" s="44" t="s">
        <v>59</v>
      </c>
      <c r="D23" s="45">
        <v>915032.20126797282</v>
      </c>
      <c r="E23" s="44"/>
      <c r="J23" s="31"/>
      <c r="N23" s="2">
        <f t="shared" si="0"/>
        <v>0</v>
      </c>
      <c r="P23" s="21">
        <f>D13+D20+D26+D31+D21</f>
        <v>332452.45413818065</v>
      </c>
      <c r="R23" s="21"/>
      <c r="V23" s="2" t="s">
        <v>60</v>
      </c>
      <c r="W23" s="2">
        <v>284140.71000000002</v>
      </c>
      <c r="X23" s="2">
        <f>W23*20.2%</f>
        <v>57396.423419999999</v>
      </c>
      <c r="Y23" s="2">
        <f t="shared" si="1"/>
        <v>341537.13342000003</v>
      </c>
      <c r="Z23" s="2">
        <f>Y23/36679.54</f>
        <v>9.3113799524203422</v>
      </c>
      <c r="AA23" s="2">
        <f>Z23*32344.54</f>
        <v>301172.30132625788</v>
      </c>
      <c r="AF23" s="71">
        <v>914112</v>
      </c>
      <c r="AG23" s="71">
        <f t="shared" si="2"/>
        <v>915032.20126797282</v>
      </c>
    </row>
    <row r="24" spans="1:43">
      <c r="A24" s="19" t="s">
        <v>61</v>
      </c>
      <c r="B24" s="43" t="s">
        <v>19</v>
      </c>
      <c r="C24" s="44" t="s">
        <v>62</v>
      </c>
      <c r="D24" s="45">
        <v>0</v>
      </c>
      <c r="E24" s="44"/>
      <c r="J24" s="31"/>
      <c r="N24" s="2">
        <f t="shared" si="0"/>
        <v>0</v>
      </c>
      <c r="AF24" s="71"/>
      <c r="AG24" s="71">
        <f t="shared" si="2"/>
        <v>0</v>
      </c>
    </row>
    <row r="25" spans="1:43">
      <c r="A25" s="19" t="s">
        <v>63</v>
      </c>
      <c r="B25" s="43" t="s">
        <v>64</v>
      </c>
      <c r="C25" s="44" t="s">
        <v>65</v>
      </c>
      <c r="D25" s="45">
        <v>50050.333070125591</v>
      </c>
      <c r="E25" s="44"/>
      <c r="J25" s="31"/>
      <c r="N25" s="2">
        <f t="shared" si="0"/>
        <v>0</v>
      </c>
      <c r="AF25" s="71">
        <v>50000</v>
      </c>
      <c r="AG25" s="71">
        <f t="shared" si="2"/>
        <v>50050.333070125591</v>
      </c>
    </row>
    <row r="26" spans="1:43">
      <c r="A26" s="19" t="s">
        <v>66</v>
      </c>
      <c r="B26" s="43" t="s">
        <v>23</v>
      </c>
      <c r="C26" s="44"/>
      <c r="D26" s="45">
        <v>0</v>
      </c>
      <c r="E26" s="44"/>
      <c r="G26" s="31"/>
      <c r="J26" s="31"/>
      <c r="N26" s="2">
        <f t="shared" si="0"/>
        <v>0</v>
      </c>
      <c r="V26" s="2" t="s">
        <v>67</v>
      </c>
      <c r="W26" s="2">
        <f>9.69</f>
        <v>9.69</v>
      </c>
      <c r="X26" s="2">
        <f>W26*D7/2</f>
        <v>156867.04949999999</v>
      </c>
      <c r="AF26" s="71"/>
      <c r="AG26" s="71">
        <f t="shared" si="2"/>
        <v>0</v>
      </c>
    </row>
    <row r="27" spans="1:43" s="31" customFormat="1" ht="15.75">
      <c r="A27" s="27" t="s">
        <v>68</v>
      </c>
      <c r="B27" s="33" t="s">
        <v>69</v>
      </c>
      <c r="C27" s="46" t="s">
        <v>70</v>
      </c>
      <c r="D27" s="29">
        <v>0</v>
      </c>
      <c r="E27" s="30"/>
      <c r="G27" s="2"/>
      <c r="H27" s="2"/>
      <c r="I27" s="2"/>
      <c r="N27" s="2">
        <f t="shared" si="0"/>
        <v>0</v>
      </c>
      <c r="AF27" s="73"/>
      <c r="AG27" s="71">
        <f t="shared" si="2"/>
        <v>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</row>
    <row r="28" spans="1:43">
      <c r="A28" s="13" t="s">
        <v>71</v>
      </c>
      <c r="B28" s="14" t="s">
        <v>72</v>
      </c>
      <c r="C28" s="40"/>
      <c r="D28" s="41">
        <f>SUM(D29:D33)</f>
        <v>654500.7180282051</v>
      </c>
      <c r="E28" s="42">
        <f>D28/D7</f>
        <v>20.214927156175357</v>
      </c>
      <c r="H28" s="2">
        <v>183192.52</v>
      </c>
      <c r="N28" s="2">
        <f t="shared" si="0"/>
        <v>1.684577263014613</v>
      </c>
      <c r="AF28" s="71">
        <v>653842.5199999999</v>
      </c>
      <c r="AG28" s="71">
        <f t="shared" si="2"/>
        <v>654500.71802820498</v>
      </c>
    </row>
    <row r="29" spans="1:43">
      <c r="A29" s="19" t="s">
        <v>73</v>
      </c>
      <c r="B29" s="47" t="s">
        <v>14</v>
      </c>
      <c r="C29" s="44" t="s">
        <v>74</v>
      </c>
      <c r="D29" s="45">
        <v>559905.25819346937</v>
      </c>
      <c r="E29" s="44"/>
      <c r="N29" s="2">
        <f t="shared" si="0"/>
        <v>0</v>
      </c>
      <c r="V29" s="2" t="s">
        <v>16</v>
      </c>
      <c r="W29" s="2">
        <v>219800.33</v>
      </c>
      <c r="X29" s="21">
        <f>D13+D25+D31</f>
        <v>179981.32805236988</v>
      </c>
      <c r="AF29" s="71">
        <v>559342.18999999994</v>
      </c>
      <c r="AG29" s="71">
        <f t="shared" si="2"/>
        <v>559905.25819346937</v>
      </c>
    </row>
    <row r="30" spans="1:43">
      <c r="A30" s="19" t="s">
        <v>75</v>
      </c>
      <c r="B30" s="47" t="s">
        <v>19</v>
      </c>
      <c r="C30" s="44" t="s">
        <v>76</v>
      </c>
      <c r="D30" s="45">
        <v>0</v>
      </c>
      <c r="E30" s="44"/>
      <c r="N30" s="2">
        <f t="shared" si="0"/>
        <v>0</v>
      </c>
      <c r="AF30" s="71"/>
      <c r="AG30" s="71">
        <f t="shared" si="2"/>
        <v>0</v>
      </c>
    </row>
    <row r="31" spans="1:43">
      <c r="A31" s="19" t="s">
        <v>77</v>
      </c>
      <c r="B31" s="47" t="s">
        <v>78</v>
      </c>
      <c r="C31" s="44"/>
      <c r="D31" s="45">
        <v>39840.395456018232</v>
      </c>
      <c r="E31" s="44"/>
      <c r="N31" s="2">
        <f t="shared" si="0"/>
        <v>0</v>
      </c>
      <c r="P31" s="21"/>
      <c r="AF31" s="71">
        <v>39800.33</v>
      </c>
      <c r="AG31" s="71">
        <f t="shared" si="2"/>
        <v>39840.395456018232</v>
      </c>
    </row>
    <row r="32" spans="1:43">
      <c r="A32" s="19" t="s">
        <v>79</v>
      </c>
      <c r="B32" s="47"/>
      <c r="C32" s="48" t="s">
        <v>80</v>
      </c>
      <c r="D32" s="45">
        <v>54755.064378717398</v>
      </c>
      <c r="E32" s="44"/>
      <c r="N32" s="2">
        <f t="shared" si="0"/>
        <v>0</v>
      </c>
      <c r="AF32" s="71">
        <v>54700</v>
      </c>
      <c r="AG32" s="71">
        <f t="shared" si="2"/>
        <v>54755.064378717398</v>
      </c>
    </row>
    <row r="33" spans="1:43" ht="28.5">
      <c r="A33" s="19" t="s">
        <v>81</v>
      </c>
      <c r="B33" s="49" t="s">
        <v>69</v>
      </c>
      <c r="C33" s="50" t="s">
        <v>82</v>
      </c>
      <c r="D33" s="6">
        <v>0</v>
      </c>
      <c r="E33" s="49"/>
      <c r="N33" s="2">
        <f t="shared" si="0"/>
        <v>0</v>
      </c>
      <c r="AF33" s="71"/>
      <c r="AG33" s="71">
        <f t="shared" si="2"/>
        <v>0</v>
      </c>
    </row>
    <row r="34" spans="1:43" s="26" customFormat="1" ht="38.25">
      <c r="A34" s="24" t="s">
        <v>83</v>
      </c>
      <c r="B34" s="14" t="s">
        <v>84</v>
      </c>
      <c r="C34" s="39" t="s">
        <v>85</v>
      </c>
      <c r="D34" s="41">
        <v>156867.05320372464</v>
      </c>
      <c r="E34" s="42">
        <f>D34/D7</f>
        <v>4.8450001143933417</v>
      </c>
      <c r="F34" s="31"/>
      <c r="G34" s="31"/>
      <c r="H34" s="36">
        <v>29204.6</v>
      </c>
      <c r="I34" s="31"/>
      <c r="J34" s="31"/>
      <c r="K34" s="31"/>
      <c r="L34" s="31" t="s">
        <v>86</v>
      </c>
      <c r="N34" s="2">
        <f t="shared" si="0"/>
        <v>0.40375000953277845</v>
      </c>
      <c r="AF34" s="72">
        <v>156709.29999999999</v>
      </c>
      <c r="AG34" s="71">
        <f t="shared" si="2"/>
        <v>156867.05320372464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</row>
    <row r="35" spans="1:43" s="26" customFormat="1">
      <c r="A35" s="24" t="s">
        <v>87</v>
      </c>
      <c r="B35" s="14" t="s">
        <v>88</v>
      </c>
      <c r="C35" s="39" t="s">
        <v>89</v>
      </c>
      <c r="D35" s="41">
        <v>17297.395109035406</v>
      </c>
      <c r="E35" s="42">
        <f>D35/D7</f>
        <v>0.53424782049767916</v>
      </c>
      <c r="F35" s="31"/>
      <c r="N35" s="2">
        <f t="shared" si="0"/>
        <v>4.452065170813993E-2</v>
      </c>
      <c r="AF35" s="72">
        <v>17280</v>
      </c>
      <c r="AG35" s="71">
        <f t="shared" si="2"/>
        <v>17297.395109035406</v>
      </c>
      <c r="AH35" s="68"/>
      <c r="AI35" s="68"/>
      <c r="AJ35" s="68"/>
      <c r="AK35" s="68"/>
      <c r="AL35" s="68"/>
      <c r="AM35" s="68"/>
      <c r="AN35" s="68"/>
      <c r="AO35" s="68"/>
      <c r="AP35" s="68"/>
      <c r="AQ35" s="68"/>
    </row>
    <row r="36" spans="1:43" s="26" customFormat="1">
      <c r="A36" s="24" t="s">
        <v>90</v>
      </c>
      <c r="B36" s="14" t="s">
        <v>91</v>
      </c>
      <c r="C36" s="39" t="s">
        <v>92</v>
      </c>
      <c r="D36" s="41">
        <v>421313.69371770317</v>
      </c>
      <c r="E36" s="42">
        <f>D36/D7</f>
        <v>13.01270631766598</v>
      </c>
      <c r="F36" s="31"/>
      <c r="N36" s="2">
        <f t="shared" si="0"/>
        <v>1.0843921931388316</v>
      </c>
      <c r="AF36" s="72">
        <v>420890</v>
      </c>
      <c r="AG36" s="71">
        <f t="shared" si="2"/>
        <v>421313.69371770317</v>
      </c>
      <c r="AH36" s="68"/>
      <c r="AI36" s="68"/>
      <c r="AJ36" s="68"/>
      <c r="AK36" s="68"/>
      <c r="AL36" s="68"/>
      <c r="AM36" s="68"/>
      <c r="AN36" s="68"/>
      <c r="AO36" s="68"/>
      <c r="AP36" s="68"/>
      <c r="AQ36" s="68"/>
    </row>
    <row r="37" spans="1:43">
      <c r="A37" s="13" t="s">
        <v>93</v>
      </c>
      <c r="B37" s="14" t="s">
        <v>94</v>
      </c>
      <c r="C37" s="39" t="s">
        <v>95</v>
      </c>
      <c r="D37" s="41">
        <v>102172.5597380887</v>
      </c>
      <c r="E37" s="42">
        <f>D37/D7</f>
        <v>3.1557044867541784</v>
      </c>
      <c r="N37" s="2">
        <f t="shared" si="0"/>
        <v>0.26297537389618153</v>
      </c>
      <c r="AF37" s="71">
        <v>102069.81</v>
      </c>
      <c r="AG37" s="71">
        <f t="shared" si="2"/>
        <v>102172.5597380887</v>
      </c>
    </row>
    <row r="38" spans="1:43" s="18" customFormat="1" ht="38.25">
      <c r="A38" s="13" t="s">
        <v>96</v>
      </c>
      <c r="B38" s="51" t="s">
        <v>97</v>
      </c>
      <c r="C38" s="52" t="s">
        <v>98</v>
      </c>
      <c r="D38" s="41">
        <f>SUM(D39:D41)</f>
        <v>601044.23</v>
      </c>
      <c r="E38" s="42">
        <f>D38/D7</f>
        <v>18.563868598484731</v>
      </c>
      <c r="N38" s="2">
        <f t="shared" si="0"/>
        <v>1.5469890498737275</v>
      </c>
      <c r="AF38" s="74">
        <v>601044.23</v>
      </c>
      <c r="AG38" s="71">
        <f t="shared" si="2"/>
        <v>601649.27802754345</v>
      </c>
      <c r="AH38" s="70"/>
      <c r="AI38" s="70"/>
      <c r="AJ38" s="70"/>
      <c r="AK38" s="70"/>
      <c r="AL38" s="70"/>
      <c r="AM38" s="70"/>
      <c r="AN38" s="70"/>
      <c r="AO38" s="70"/>
      <c r="AP38" s="70"/>
      <c r="AQ38" s="70"/>
    </row>
    <row r="39" spans="1:43" hidden="1">
      <c r="A39" s="19" t="s">
        <v>99</v>
      </c>
      <c r="B39" s="46" t="s">
        <v>14</v>
      </c>
      <c r="C39" s="30" t="s">
        <v>100</v>
      </c>
      <c r="D39" s="45">
        <f>110965.2+17951.6+287141.79</f>
        <v>416058.58999999997</v>
      </c>
      <c r="E39" s="53"/>
      <c r="N39" s="2">
        <f t="shared" si="0"/>
        <v>0</v>
      </c>
      <c r="U39" s="2" t="s">
        <v>101</v>
      </c>
      <c r="V39" s="2">
        <v>92471</v>
      </c>
      <c r="W39" s="2">
        <f>V39*20%</f>
        <v>18494.2</v>
      </c>
      <c r="X39" s="21">
        <f>SUM(V39:W39)</f>
        <v>110965.2</v>
      </c>
      <c r="AF39" s="71">
        <v>416058.58999999997</v>
      </c>
      <c r="AG39" s="71">
        <f t="shared" si="2"/>
        <v>416477.42012373643</v>
      </c>
    </row>
    <row r="40" spans="1:43" hidden="1">
      <c r="A40" s="19" t="s">
        <v>102</v>
      </c>
      <c r="B40" s="46" t="s">
        <v>19</v>
      </c>
      <c r="C40" s="30" t="s">
        <v>103</v>
      </c>
      <c r="D40" s="45"/>
      <c r="E40" s="53"/>
      <c r="N40" s="2">
        <f t="shared" si="0"/>
        <v>0</v>
      </c>
      <c r="U40" s="2" t="s">
        <v>104</v>
      </c>
      <c r="V40" s="2">
        <f>14959.67</f>
        <v>14959.67</v>
      </c>
      <c r="W40" s="2">
        <f>V40*20%</f>
        <v>2991.9340000000002</v>
      </c>
      <c r="X40" s="21">
        <f>SUM(V40:W40)</f>
        <v>17951.603999999999</v>
      </c>
      <c r="AF40" s="71"/>
      <c r="AG40" s="71">
        <f t="shared" si="2"/>
        <v>0</v>
      </c>
    </row>
    <row r="41" spans="1:43" ht="25.5" hidden="1">
      <c r="A41" s="19" t="s">
        <v>105</v>
      </c>
      <c r="B41" s="46" t="s">
        <v>106</v>
      </c>
      <c r="C41" s="30" t="s">
        <v>107</v>
      </c>
      <c r="D41" s="45">
        <f>84135.36+100850.28</f>
        <v>184985.64</v>
      </c>
      <c r="E41" s="53"/>
      <c r="N41" s="2">
        <f t="shared" si="0"/>
        <v>0</v>
      </c>
      <c r="U41" s="2" t="s">
        <v>108</v>
      </c>
      <c r="V41" s="2">
        <v>238886.68</v>
      </c>
      <c r="W41" s="2">
        <f>V41*20.2%</f>
        <v>48255.109359999995</v>
      </c>
      <c r="X41" s="21">
        <f>SUM(V41:W41)</f>
        <v>287141.78936</v>
      </c>
      <c r="AF41" s="71">
        <v>184985.64</v>
      </c>
      <c r="AG41" s="71">
        <f t="shared" si="2"/>
        <v>185171.85790380693</v>
      </c>
    </row>
    <row r="42" spans="1:43">
      <c r="A42" s="13" t="s">
        <v>109</v>
      </c>
      <c r="B42" s="54" t="s">
        <v>110</v>
      </c>
      <c r="C42" s="55"/>
      <c r="D42" s="56">
        <f>D10+D16+D21+D22+D34+D35+D37+D38+D20+D28+D36</f>
        <v>5090644.2256323863</v>
      </c>
      <c r="E42" s="55">
        <f>E10+E16+E20+E21+E22+E28+E34+E36+E37+E38</f>
        <v>156.69552957254825</v>
      </c>
      <c r="N42" s="2">
        <f t="shared" si="0"/>
        <v>13.057960797712354</v>
      </c>
      <c r="U42" s="2" t="s">
        <v>111</v>
      </c>
      <c r="V42" s="2">
        <v>84135.360000000001</v>
      </c>
      <c r="AF42" s="71">
        <v>5086267.5604999997</v>
      </c>
      <c r="AG42" s="71">
        <f t="shared" si="2"/>
        <v>5091387.7097360026</v>
      </c>
    </row>
    <row r="43" spans="1:43">
      <c r="A43" s="13" t="s">
        <v>112</v>
      </c>
      <c r="B43" s="14" t="s">
        <v>113</v>
      </c>
      <c r="C43" s="40"/>
      <c r="D43" s="57">
        <f>D42*10%</f>
        <v>509064.42256323865</v>
      </c>
      <c r="E43" s="40">
        <f>D43/D7</f>
        <v>15.722977739304591</v>
      </c>
      <c r="N43" s="2">
        <f t="shared" si="0"/>
        <v>1.3102481449420493</v>
      </c>
      <c r="U43" s="2" t="s">
        <v>114</v>
      </c>
      <c r="V43" s="2">
        <f>3.118*32344.54</f>
        <v>100850.27572000001</v>
      </c>
      <c r="AF43" s="71">
        <v>508626.75604999997</v>
      </c>
      <c r="AG43" s="71">
        <f t="shared" si="2"/>
        <v>509138.77097360027</v>
      </c>
    </row>
    <row r="44" spans="1:43" ht="25.5">
      <c r="A44" s="13" t="s">
        <v>115</v>
      </c>
      <c r="B44" s="58" t="s">
        <v>116</v>
      </c>
      <c r="C44" s="59"/>
      <c r="D44" s="60">
        <f>D42+D43</f>
        <v>5599708.6481956253</v>
      </c>
      <c r="E44" s="59">
        <f>E42+E43</f>
        <v>172.41850731185284</v>
      </c>
      <c r="N44" s="2">
        <f t="shared" si="0"/>
        <v>14.368208942654404</v>
      </c>
      <c r="AF44" s="71">
        <v>5594894.3165499996</v>
      </c>
      <c r="AG44" s="71">
        <f t="shared" si="2"/>
        <v>5600526.4807096021</v>
      </c>
    </row>
    <row r="45" spans="1:43">
      <c r="A45" s="61"/>
      <c r="B45" s="62"/>
      <c r="C45" s="59" t="s">
        <v>117</v>
      </c>
      <c r="D45" s="60">
        <f>D44/D7/12</f>
        <v>14.412729594362544</v>
      </c>
      <c r="E45" s="63"/>
      <c r="AF45" s="71">
        <v>14.414834560820299</v>
      </c>
      <c r="AG45" s="71"/>
    </row>
    <row r="46" spans="1:43">
      <c r="A46" s="61"/>
      <c r="B46" s="62"/>
      <c r="C46" s="59"/>
      <c r="D46" s="60"/>
      <c r="E46" s="63"/>
    </row>
    <row r="47" spans="1:43" ht="10.5" customHeight="1">
      <c r="A47" s="61"/>
      <c r="B47" s="62"/>
      <c r="C47" s="63"/>
      <c r="D47" s="64"/>
      <c r="E47" s="63"/>
    </row>
    <row r="48" spans="1:43" ht="10.5" customHeight="1">
      <c r="A48" s="61"/>
      <c r="B48" s="62"/>
      <c r="C48" s="63"/>
      <c r="D48" s="64"/>
      <c r="E48" s="63"/>
    </row>
    <row r="49" spans="1:5" ht="10.5" customHeight="1">
      <c r="A49" s="61"/>
      <c r="B49" s="62"/>
      <c r="C49" s="63"/>
      <c r="D49" s="64"/>
      <c r="E49" s="63"/>
    </row>
    <row r="50" spans="1:5">
      <c r="D50" s="65" t="s">
        <v>118</v>
      </c>
    </row>
    <row r="51" spans="1:5">
      <c r="D51" s="4" t="s">
        <v>119</v>
      </c>
    </row>
    <row r="54" spans="1:5">
      <c r="B54" s="18"/>
    </row>
  </sheetData>
  <pageMargins left="0.27" right="0.17" top="0.28000000000000003" bottom="0.17" header="0.17" footer="0.17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2014</vt:lpstr>
      <vt:lpstr>'отчет 2014'!Область_печати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dcterms:created xsi:type="dcterms:W3CDTF">2015-03-18T10:03:35Z</dcterms:created>
  <dcterms:modified xsi:type="dcterms:W3CDTF">2018-10-25T03:51:05Z</dcterms:modified>
</cp:coreProperties>
</file>