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8495" windowHeight="11445"/>
  </bookViews>
  <sheets>
    <sheet name="65+6%" sheetId="1" r:id="rId1"/>
  </sheets>
  <definedNames>
    <definedName name="_xlnm.Print_Area" localSheetId="0">'65+6%'!$A$1:$E$66</definedName>
  </definedNames>
  <calcPr calcId="124519"/>
</workbook>
</file>

<file path=xl/calcChain.xml><?xml version="1.0" encoding="utf-8"?>
<calcChain xmlns="http://schemas.openxmlformats.org/spreadsheetml/2006/main">
  <c r="E55" i="1"/>
  <c r="E52"/>
  <c r="D52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55"/>
  <c r="C10"/>
  <c r="D51" l="1"/>
  <c r="D56"/>
  <c r="C6"/>
  <c r="E15" s="1"/>
  <c r="E49"/>
  <c r="E43"/>
  <c r="E24"/>
  <c r="E14"/>
  <c r="E13"/>
  <c r="E56" l="1"/>
  <c r="E50"/>
  <c r="E47"/>
  <c r="E45"/>
  <c r="E16"/>
  <c r="E48"/>
  <c r="E46"/>
  <c r="E44"/>
  <c r="E25"/>
  <c r="E17"/>
  <c r="E18"/>
  <c r="E19"/>
  <c r="E20"/>
  <c r="E21"/>
  <c r="E22"/>
  <c r="E23"/>
  <c r="E26"/>
  <c r="E35"/>
  <c r="E42" l="1"/>
  <c r="E41"/>
  <c r="E40"/>
  <c r="E39"/>
  <c r="E38"/>
  <c r="E37"/>
  <c r="E36"/>
  <c r="E34"/>
  <c r="E33"/>
  <c r="E32"/>
  <c r="E31"/>
  <c r="E30"/>
  <c r="E29"/>
  <c r="E28"/>
  <c r="E27"/>
  <c r="E51" l="1"/>
  <c r="D54" l="1"/>
</calcChain>
</file>

<file path=xl/sharedStrings.xml><?xml version="1.0" encoding="utf-8"?>
<sst xmlns="http://schemas.openxmlformats.org/spreadsheetml/2006/main" count="143" uniqueCount="131">
  <si>
    <t>Приложение №____________</t>
  </si>
  <si>
    <t>к Договору управления многоквартирным домом____</t>
  </si>
  <si>
    <t>Характеристика МКД</t>
  </si>
  <si>
    <t>Количество подъездов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</si>
  <si>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</si>
  <si>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</si>
  <si>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</si>
  <si>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</si>
  <si>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</si>
  <si>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Сумма затрат в год, руб.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</si>
  <si>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</si>
  <si>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</si>
  <si>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</si>
  <si>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</si>
  <si>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</si>
  <si>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</si>
  <si>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Санитарное содержание лестничных клеток</t>
  </si>
  <si>
    <t>4.1.</t>
  </si>
  <si>
    <t>влажная уборка лестничных площадок и маршей</t>
  </si>
  <si>
    <t>нижние три этажа - 5 раз в неделю, выше третьего этажа и места перед загрузочными клапанами - 2 раза в неделю</t>
  </si>
  <si>
    <t>4.2.</t>
  </si>
  <si>
    <t>мытье лестничных площадок и маршей</t>
  </si>
  <si>
    <t>1 раз в месяц</t>
  </si>
  <si>
    <t>4.3.</t>
  </si>
  <si>
    <t>мытье полов кабины лифтов</t>
  </si>
  <si>
    <t>2 раза в неделю</t>
  </si>
  <si>
    <t>5 раз в неделю</t>
  </si>
  <si>
    <t>4.4.</t>
  </si>
  <si>
    <t>мытье стен, дверей, оконных ограждений, перил, чердачных лестниц, плафонов, почтовых ящикв, шкафов для электросчитков и слаботочных устройств, обметание пыли с потолков</t>
  </si>
  <si>
    <t>1 раз в год</t>
  </si>
  <si>
    <t>2 раза в год</t>
  </si>
  <si>
    <t>4.5.</t>
  </si>
  <si>
    <t>4.6.</t>
  </si>
  <si>
    <t xml:space="preserve">влажная протирка   отопительных приборов. </t>
  </si>
  <si>
    <t>4.7.</t>
  </si>
  <si>
    <t>мытье окон</t>
  </si>
  <si>
    <t>4.8.</t>
  </si>
  <si>
    <t>уборка крыльца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</si>
  <si>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</si>
  <si>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</si>
  <si>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</si>
  <si>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</si>
  <si>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</si>
  <si>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</si>
  <si>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</si>
  <si>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</si>
  <si>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</si>
  <si>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</si>
  <si>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</si>
  <si>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</si>
  <si>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</si>
  <si>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</si>
  <si>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</si>
  <si>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</si>
  <si>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</si>
  <si>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</si>
  <si>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</si>
  <si>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</si>
  <si>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5.1.7.</t>
  </si>
  <si>
    <t>сметание снега со ступеней и площадки перед входом в подъезд</t>
  </si>
  <si>
    <t>4 раза в неделю</t>
  </si>
  <si>
    <t>5.1.8.</t>
  </si>
  <si>
    <t>протирка указателей</t>
  </si>
  <si>
    <t>2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</si>
  <si>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</si>
  <si>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</si>
  <si>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</si>
  <si>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</si>
  <si>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</si>
  <si>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</si>
  <si>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</si>
  <si>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</si>
  <si>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</si>
  <si>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</si>
  <si>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</si>
  <si>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</si>
  <si>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</si>
  <si>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</si>
  <si>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</si>
  <si>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</si>
  <si>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</si>
  <si>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</si>
  <si>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</si>
  <si>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озеленение,кошение газонов</t>
  </si>
  <si>
    <t>в течении летнего периода</t>
  </si>
  <si>
    <t>по мере необходимости (во время обильных снегопадов)</t>
  </si>
  <si>
    <t>Сбор, вывоз и утилизация крупногабаритных бытовых отходов</t>
  </si>
  <si>
    <t>по мере необходимости (1 раз в неделю)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</si>
  <si>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</si>
  <si>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</si>
  <si>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</si>
  <si>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дератизация - 1 раз в квартал, дезинсекция - 2 раза в год</t>
  </si>
  <si>
    <t>Обслуживание  лифтов</t>
  </si>
  <si>
    <t>ежемесячно, согласно договору со специализированной организацией</t>
  </si>
  <si>
    <t>ежемесячно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</si>
  <si>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</si>
  <si>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t>Обслуживание  противопожарной автоматики</t>
  </si>
  <si>
    <t>ИТОГО  содержание общего имущества в многоквартирном доме</t>
  </si>
  <si>
    <t>УПРАВЛЕНИЕ МНОГОКВАРТИРНЫМ ДОМОМ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</si>
  <si>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</si>
  <si>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</si>
  <si>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Директор ООО "КЖЭК "Горский"</t>
  </si>
  <si>
    <t>С.В. Занина</t>
  </si>
  <si>
    <t>Экономист</t>
  </si>
  <si>
    <r>
      <rPr>
        <u/>
        <sz val="10"/>
        <color theme="1"/>
        <rFont val="Times New Roman"/>
        <family val="1"/>
        <charset val="204"/>
      </rPr>
      <t>Примечание:</t>
    </r>
    <r>
      <rPr>
        <sz val="10"/>
        <color theme="1"/>
        <rFont val="Times New Roman"/>
        <family val="1"/>
        <charset val="204"/>
      </rPr>
      <t xml:space="preserve"> Уважаемые собственники, согласно ст.156 п.7 ЖК Вам необходимо  провести общее собрание по утверждению перечня, периодичности и стоимости работ и услуг по содержанию и ремонту общего имущества Многоквартирного дома на 2014 год.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</si>
  <si>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В случае не утверждения общим собранием тарифа на 2014 год Управляющая Компания по истечению 30 календарных дней производит начисление за текущее содержание в соответствии с данным тарифом с 01.01.2014 года.</t>
  </si>
  <si>
    <t>Общая площадь помещений</t>
  </si>
  <si>
    <t>Площадь дворовой территории</t>
  </si>
  <si>
    <t>Площадь, оборудованная ППА</t>
  </si>
  <si>
    <t>М.А. Иващук</t>
  </si>
  <si>
    <t>Замена ламп накаливания на энергосберегающие</t>
  </si>
  <si>
    <t xml:space="preserve"> (Согласно закона №261 от 18.11.2009г. "Об энергосбережении и о повышении энергетической эффективности" Ст.12 п.4 ) - 522 шт.</t>
  </si>
  <si>
    <t xml:space="preserve">Сбор денежных средств для формирования резерва на текущий ремонт </t>
  </si>
  <si>
    <t>Раздел 2. Дополнительные услуги и работы</t>
  </si>
  <si>
    <t>Раздел 1. Содержание общего имущества дома</t>
  </si>
  <si>
    <t>Автоуслуги по вывозу снега, механизированная уборка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</si>
  <si>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</si>
  <si>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</si>
  <si>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</si>
  <si>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</si>
  <si>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</si>
  <si>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</si>
  <si>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</si>
  <si>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</si>
  <si>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</si>
  <si>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</si>
  <si>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</si>
  <si>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Перечень и периодичность работ и услуг по содержанию и ремонту общего имущества многоквартирного дома № 65 м-на Горский 
с 01.01.2014 по 31.12.2014 гг.</t>
  </si>
  <si>
    <t>м-н Горский 65</t>
  </si>
  <si>
    <t>5.</t>
  </si>
  <si>
    <t>влажная протирка стен, дверей, потолков и плафонов кабины лифта,подоконников, почтовых ящиков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</si>
</sst>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2" fontId="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14" fillId="0" borderId="0" xfId="0" applyFont="1" applyFill="1"/>
    <xf numFmtId="0" fontId="16" fillId="0" borderId="0" xfId="0" applyFont="1" applyFill="1" applyAlignment="1">
      <alignment horizontal="center" vertical="center"/>
    </xf>
    <xf numFmtId="0" fontId="17" fillId="0" borderId="0" xfId="0" applyFont="1" applyFill="1"/>
    <xf numFmtId="0" fontId="5" fillId="0" borderId="0" xfId="0" applyFont="1" applyFill="1"/>
    <xf numFmtId="4" fontId="5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="85" zoomScaleSheetLayoutView="85" workbookViewId="0">
      <selection activeCell="A3" sqref="A3:E3"/>
    </sheetView>
  </sheetViews>
  <sheetFormatPr defaultRowHeight="15"/>
  <cols>
    <col min="1" max="1" width="5.5703125" style="46" customWidth="1"/>
    <col min="2" max="2" width="28.7109375" style="48" customWidth="1"/>
    <col min="3" max="3" width="39" style="48" customWidth="1"/>
    <col min="4" max="4" width="13.42578125" style="49" customWidth="1"/>
    <col min="5" max="5" width="12.7109375" style="50" customWidth="1"/>
    <col min="6" max="6" width="11.42578125" bestFit="1" customWidth="1"/>
    <col min="7" max="7" width="10.140625" bestFit="1" customWidth="1"/>
  </cols>
  <sheetData>
    <row r="1" spans="1:6">
      <c r="A1" s="1"/>
      <c r="B1" s="2"/>
      <c r="C1" s="72" t="s">
        <v>0</v>
      </c>
      <c r="D1" s="72"/>
      <c r="E1" s="72"/>
    </row>
    <row r="2" spans="1:6">
      <c r="A2" s="1"/>
      <c r="B2" s="2"/>
      <c r="C2" s="72" t="s">
        <v>1</v>
      </c>
      <c r="D2" s="72"/>
      <c r="E2" s="72"/>
    </row>
    <row r="3" spans="1:6" ht="66" customHeight="1">
      <c r="A3" s="76" t="s">
        <v>127</v>
      </c>
      <c r="B3" s="76"/>
      <c r="C3" s="76"/>
      <c r="D3" s="76"/>
      <c r="E3" s="77"/>
    </row>
    <row r="4" spans="1:6" ht="18.75" customHeight="1">
      <c r="A4" s="78" t="s">
        <v>2</v>
      </c>
      <c r="B4" s="65"/>
      <c r="C4" s="79" t="s">
        <v>128</v>
      </c>
      <c r="D4" s="79"/>
      <c r="E4" s="80"/>
    </row>
    <row r="5" spans="1:6" ht="15" customHeight="1">
      <c r="A5" s="78" t="s">
        <v>3</v>
      </c>
      <c r="B5" s="65"/>
      <c r="C5" s="81">
        <v>2</v>
      </c>
      <c r="D5" s="80"/>
      <c r="E5" s="80"/>
    </row>
    <row r="6" spans="1:6">
      <c r="A6" s="81" t="s">
        <v>106</v>
      </c>
      <c r="B6" s="65"/>
      <c r="C6" s="82">
        <f>C8+C7</f>
        <v>10554</v>
      </c>
      <c r="D6" s="83"/>
      <c r="E6" s="84"/>
    </row>
    <row r="7" spans="1:6" ht="15" customHeight="1">
      <c r="A7" s="60" t="s">
        <v>4</v>
      </c>
      <c r="B7" s="75"/>
      <c r="C7" s="62">
        <v>10142.299999999999</v>
      </c>
      <c r="D7" s="73"/>
      <c r="E7" s="74"/>
      <c r="F7" s="3"/>
    </row>
    <row r="8" spans="1:6" ht="15.75" customHeight="1">
      <c r="A8" s="60" t="s">
        <v>5</v>
      </c>
      <c r="B8" s="61"/>
      <c r="C8" s="62">
        <v>411.7</v>
      </c>
      <c r="D8" s="63"/>
      <c r="E8" s="61"/>
    </row>
    <row r="9" spans="1:6" ht="15.75" customHeight="1">
      <c r="A9" s="60" t="s">
        <v>107</v>
      </c>
      <c r="B9" s="61"/>
      <c r="C9" s="62">
        <v>4247.8</v>
      </c>
      <c r="D9" s="63"/>
      <c r="E9" s="61"/>
    </row>
    <row r="10" spans="1:6" ht="15.75" customHeight="1">
      <c r="A10" s="60" t="s">
        <v>108</v>
      </c>
      <c r="B10" s="61"/>
      <c r="C10" s="62">
        <f>C7</f>
        <v>10142.299999999999</v>
      </c>
      <c r="D10" s="63"/>
      <c r="E10" s="61"/>
    </row>
    <row r="11" spans="1:6" ht="65.25" customHeight="1">
      <c r="A11" s="64" t="s">
        <v>6</v>
      </c>
      <c r="B11" s="65"/>
      <c r="C11" s="4" t="s">
        <v>7</v>
      </c>
      <c r="D11" s="6" t="s">
        <v>9</v>
      </c>
      <c r="E11" s="6" t="s">
        <v>8</v>
      </c>
    </row>
    <row r="12" spans="1:6" ht="15" customHeight="1">
      <c r="A12" s="69" t="s">
        <v>114</v>
      </c>
      <c r="B12" s="70"/>
      <c r="C12" s="70"/>
      <c r="D12" s="70"/>
      <c r="E12" s="71"/>
    </row>
    <row r="13" spans="1:6" ht="135">
      <c r="A13" s="7" t="s">
        <v>123</v>
      </c>
      <c r="B13" s="8" t="s">
        <v>10</v>
      </c>
      <c r="C13" s="54" t="s">
        <v>11</v>
      </c>
      <c r="D13" s="9">
        <f>1.063*205437.591351351</f>
        <v>218380.15960648609</v>
      </c>
      <c r="E13" s="10">
        <f>D13/$C$6/12</f>
        <v>1.7243080001775482</v>
      </c>
    </row>
    <row r="14" spans="1:6" ht="78.75">
      <c r="A14" s="7" t="s">
        <v>124</v>
      </c>
      <c r="B14" s="8" t="s">
        <v>12</v>
      </c>
      <c r="C14" s="54" t="s">
        <v>13</v>
      </c>
      <c r="D14" s="9">
        <f>1.063*125048.968648649</f>
        <v>132927.05367351387</v>
      </c>
      <c r="E14" s="10">
        <f t="shared" ref="E14:E51" si="0">D14/$C$6/12</f>
        <v>1.0495787827167731</v>
      </c>
    </row>
    <row r="15" spans="1:6" ht="38.25" customHeight="1">
      <c r="A15" s="7" t="s">
        <v>125</v>
      </c>
      <c r="B15" s="8" t="s">
        <v>14</v>
      </c>
      <c r="C15" s="55" t="s">
        <v>15</v>
      </c>
      <c r="D15" s="11">
        <f>1.063*130935.96</f>
        <v>139184.92548000001</v>
      </c>
      <c r="E15" s="10">
        <f t="shared" si="0"/>
        <v>1.0989903155201819</v>
      </c>
    </row>
    <row r="16" spans="1:6" ht="29.25" customHeight="1">
      <c r="A16" s="12" t="s">
        <v>126</v>
      </c>
      <c r="B16" s="13" t="s">
        <v>16</v>
      </c>
      <c r="C16" s="14"/>
      <c r="D16" s="11">
        <f>1.063*193189.83</f>
        <v>205360.78928999999</v>
      </c>
      <c r="E16" s="10">
        <f t="shared" si="0"/>
        <v>1.6215083482565851</v>
      </c>
    </row>
    <row r="17" spans="1:7" ht="38.25">
      <c r="A17" s="7" t="s">
        <v>17</v>
      </c>
      <c r="B17" s="15" t="s">
        <v>18</v>
      </c>
      <c r="C17" s="5" t="s">
        <v>19</v>
      </c>
      <c r="D17" s="16">
        <f>1.063*172111.126452314</f>
        <v>182954.12741880977</v>
      </c>
      <c r="E17" s="10">
        <f t="shared" si="0"/>
        <v>1.4445875767387546</v>
      </c>
    </row>
    <row r="18" spans="1:7" ht="39" customHeight="1">
      <c r="A18" s="7" t="s">
        <v>20</v>
      </c>
      <c r="B18" s="15" t="s">
        <v>21</v>
      </c>
      <c r="C18" s="5" t="s">
        <v>22</v>
      </c>
      <c r="D18" s="16">
        <f>1.063*17732.9645739495</f>
        <v>18850.141342108316</v>
      </c>
      <c r="E18" s="10">
        <f t="shared" si="0"/>
        <v>0.14883883947719914</v>
      </c>
      <c r="G18" s="17"/>
    </row>
    <row r="19" spans="1:7">
      <c r="A19" s="7" t="s">
        <v>23</v>
      </c>
      <c r="B19" s="15" t="s">
        <v>24</v>
      </c>
      <c r="C19" s="5" t="s">
        <v>25</v>
      </c>
      <c r="D19" s="16">
        <f>1.063*506.470519893711</f>
        <v>538.37816264701473</v>
      </c>
      <c r="E19" s="10">
        <f t="shared" si="0"/>
        <v>4.250980375900249E-3</v>
      </c>
    </row>
    <row r="20" spans="1:7" ht="67.5">
      <c r="A20" s="7" t="s">
        <v>27</v>
      </c>
      <c r="B20" s="57" t="s">
        <v>28</v>
      </c>
      <c r="C20" s="5" t="s">
        <v>29</v>
      </c>
      <c r="D20" s="18">
        <f>1.063*1155.72838172348</f>
        <v>1228.5392697720592</v>
      </c>
      <c r="E20" s="10">
        <f t="shared" si="0"/>
        <v>9.7004237711772728E-3</v>
      </c>
    </row>
    <row r="21" spans="1:7" ht="33.75">
      <c r="A21" s="7" t="s">
        <v>31</v>
      </c>
      <c r="B21" s="57" t="s">
        <v>130</v>
      </c>
      <c r="C21" s="5" t="s">
        <v>22</v>
      </c>
      <c r="D21" s="18">
        <f>1.063*322.377993038147</f>
        <v>342.68780659955024</v>
      </c>
      <c r="E21" s="10">
        <f t="shared" si="0"/>
        <v>2.705828805820465E-3</v>
      </c>
    </row>
    <row r="22" spans="1:7" ht="25.5">
      <c r="A22" s="7" t="s">
        <v>32</v>
      </c>
      <c r="B22" s="15" t="s">
        <v>33</v>
      </c>
      <c r="C22" s="5" t="s">
        <v>30</v>
      </c>
      <c r="D22" s="18">
        <f>1.063*53.3671726977978</f>
        <v>56.729304577759059</v>
      </c>
      <c r="E22" s="10">
        <f t="shared" si="0"/>
        <v>4.4792894145789162E-4</v>
      </c>
    </row>
    <row r="23" spans="1:7">
      <c r="A23" s="7" t="s">
        <v>34</v>
      </c>
      <c r="B23" s="15" t="s">
        <v>35</v>
      </c>
      <c r="C23" s="5" t="s">
        <v>30</v>
      </c>
      <c r="D23" s="18">
        <f>1.063*915.998749037036</f>
        <v>973.70667022636917</v>
      </c>
      <c r="E23" s="10">
        <f t="shared" si="0"/>
        <v>7.6882909341353138E-3</v>
      </c>
      <c r="F23" s="19"/>
    </row>
    <row r="24" spans="1:7">
      <c r="A24" s="7" t="s">
        <v>36</v>
      </c>
      <c r="B24" s="15" t="s">
        <v>37</v>
      </c>
      <c r="C24" s="5" t="s">
        <v>38</v>
      </c>
      <c r="D24" s="18">
        <f>1.063*391.796157346424</f>
        <v>416.47931525924872</v>
      </c>
      <c r="E24" s="10">
        <f t="shared" si="0"/>
        <v>3.288479212141121E-3</v>
      </c>
    </row>
    <row r="25" spans="1:7" ht="38.25">
      <c r="A25" s="7" t="s">
        <v>129</v>
      </c>
      <c r="B25" s="8" t="s">
        <v>39</v>
      </c>
      <c r="C25" s="20"/>
      <c r="D25" s="11">
        <f>1.063*409554.46</f>
        <v>435356.39098000003</v>
      </c>
      <c r="E25" s="10">
        <f t="shared" si="0"/>
        <v>3.4375307227907275</v>
      </c>
    </row>
    <row r="26" spans="1:7">
      <c r="A26" s="7" t="s">
        <v>40</v>
      </c>
      <c r="B26" s="21" t="s">
        <v>41</v>
      </c>
      <c r="C26" s="22"/>
      <c r="D26" s="18">
        <f>1.063*210368.974207931</f>
        <v>223622.21958303064</v>
      </c>
      <c r="E26" s="10">
        <f t="shared" si="0"/>
        <v>1.7656987838973428</v>
      </c>
    </row>
    <row r="27" spans="1:7" ht="25.5">
      <c r="A27" s="7" t="s">
        <v>42</v>
      </c>
      <c r="B27" s="15" t="s">
        <v>43</v>
      </c>
      <c r="C27" s="24" t="s">
        <v>44</v>
      </c>
      <c r="D27" s="18">
        <f>1.063*86417.3456528413</f>
        <v>91861.638428970284</v>
      </c>
      <c r="E27" s="10">
        <f t="shared" si="0"/>
        <v>0.72533035207007046</v>
      </c>
    </row>
    <row r="28" spans="1:7" ht="25.5">
      <c r="A28" s="7" t="s">
        <v>45</v>
      </c>
      <c r="B28" s="15" t="s">
        <v>46</v>
      </c>
      <c r="C28" s="24" t="s">
        <v>47</v>
      </c>
      <c r="D28" s="18">
        <f>1.063*112119.877829468</f>
        <v>119183.43013272448</v>
      </c>
      <c r="E28" s="10">
        <f t="shared" si="0"/>
        <v>0.94106049943721548</v>
      </c>
    </row>
    <row r="29" spans="1:7" ht="25.5">
      <c r="A29" s="7" t="s">
        <v>48</v>
      </c>
      <c r="B29" s="15" t="s">
        <v>49</v>
      </c>
      <c r="C29" s="24" t="s">
        <v>50</v>
      </c>
      <c r="D29" s="18">
        <f>1.063*8974.1098785047</f>
        <v>9539.4788008504947</v>
      </c>
      <c r="E29" s="10">
        <f t="shared" si="0"/>
        <v>7.532277494196904E-2</v>
      </c>
    </row>
    <row r="30" spans="1:7" ht="25.5">
      <c r="A30" s="7" t="s">
        <v>51</v>
      </c>
      <c r="B30" s="15" t="s">
        <v>52</v>
      </c>
      <c r="C30" s="24" t="s">
        <v>38</v>
      </c>
      <c r="D30" s="18">
        <f>1.063*535.432929887119</f>
        <v>569.16520447000755</v>
      </c>
      <c r="E30" s="10">
        <f t="shared" si="0"/>
        <v>4.4940717932380105E-3</v>
      </c>
    </row>
    <row r="31" spans="1:7" ht="38.25">
      <c r="A31" s="7" t="s">
        <v>53</v>
      </c>
      <c r="B31" s="15" t="s">
        <v>54</v>
      </c>
      <c r="C31" s="24" t="s">
        <v>55</v>
      </c>
      <c r="D31" s="18">
        <f>1.063*452.470467235384</f>
        <v>480.97610667121313</v>
      </c>
      <c r="E31" s="10">
        <f t="shared" si="0"/>
        <v>3.7977394563768331E-3</v>
      </c>
    </row>
    <row r="32" spans="1:7">
      <c r="A32" s="7" t="s">
        <v>56</v>
      </c>
      <c r="B32" s="15" t="s">
        <v>57</v>
      </c>
      <c r="C32" s="24" t="s">
        <v>26</v>
      </c>
      <c r="D32" s="18">
        <f>1.063*1357.42824345659</f>
        <v>1442.9462227943552</v>
      </c>
      <c r="E32" s="10">
        <f t="shared" si="0"/>
        <v>1.1393359727704782E-2</v>
      </c>
    </row>
    <row r="33" spans="1:5" ht="25.5">
      <c r="A33" s="7" t="s">
        <v>58</v>
      </c>
      <c r="B33" s="15" t="s">
        <v>59</v>
      </c>
      <c r="C33" s="24" t="s">
        <v>60</v>
      </c>
      <c r="D33" s="18">
        <f>1.063*498.936856690548</f>
        <v>530.36987866205243</v>
      </c>
      <c r="E33" s="10">
        <f t="shared" si="0"/>
        <v>4.1877477627917728E-3</v>
      </c>
    </row>
    <row r="34" spans="1:5">
      <c r="A34" s="7" t="s">
        <v>61</v>
      </c>
      <c r="B34" s="15" t="s">
        <v>62</v>
      </c>
      <c r="C34" s="24" t="s">
        <v>63</v>
      </c>
      <c r="D34" s="18">
        <f>1.063*13.3723498468285</f>
        <v>14.214807887178695</v>
      </c>
      <c r="E34" s="10">
        <f t="shared" si="0"/>
        <v>1.1223870797153287E-4</v>
      </c>
    </row>
    <row r="35" spans="1:5">
      <c r="A35" s="7" t="s">
        <v>64</v>
      </c>
      <c r="B35" s="21" t="s">
        <v>65</v>
      </c>
      <c r="C35" s="25"/>
      <c r="D35" s="18">
        <f>1.063*199185.485792069</f>
        <v>211734.17139696932</v>
      </c>
      <c r="E35" s="10">
        <f t="shared" si="0"/>
        <v>1.6718319388933842</v>
      </c>
    </row>
    <row r="36" spans="1:5" ht="38.25">
      <c r="A36" s="7" t="s">
        <v>66</v>
      </c>
      <c r="B36" s="15" t="s">
        <v>67</v>
      </c>
      <c r="C36" s="24" t="s">
        <v>68</v>
      </c>
      <c r="D36" s="18">
        <f>1.063*93190.751246546</f>
        <v>99061.7685750784</v>
      </c>
      <c r="E36" s="10">
        <f t="shared" si="0"/>
        <v>0.78218186291989145</v>
      </c>
    </row>
    <row r="37" spans="1:5" ht="25.5">
      <c r="A37" s="7" t="s">
        <v>69</v>
      </c>
      <c r="B37" s="15" t="s">
        <v>70</v>
      </c>
      <c r="C37" s="24" t="s">
        <v>71</v>
      </c>
      <c r="D37" s="18">
        <f>1.063*7261.93986373819</f>
        <v>7719.4420751536954</v>
      </c>
      <c r="E37" s="10">
        <f t="shared" si="0"/>
        <v>6.0951946143276599E-2</v>
      </c>
    </row>
    <row r="38" spans="1:5">
      <c r="A38" s="7" t="s">
        <v>72</v>
      </c>
      <c r="B38" s="15" t="s">
        <v>73</v>
      </c>
      <c r="C38" s="24" t="s">
        <v>74</v>
      </c>
      <c r="D38" s="18">
        <f>1.063*83386.3456119654</f>
        <v>88639.685385519217</v>
      </c>
      <c r="E38" s="10">
        <f t="shared" si="0"/>
        <v>0.69989013158928071</v>
      </c>
    </row>
    <row r="39" spans="1:5" ht="25.5">
      <c r="A39" s="7" t="s">
        <v>75</v>
      </c>
      <c r="B39" s="15" t="s">
        <v>76</v>
      </c>
      <c r="C39" s="24" t="s">
        <v>25</v>
      </c>
      <c r="D39" s="18">
        <f>1.063*52.9216301677486</f>
        <v>56.255692868316764</v>
      </c>
      <c r="E39" s="10">
        <f t="shared" si="0"/>
        <v>4.4418935054889742E-4</v>
      </c>
    </row>
    <row r="40" spans="1:5">
      <c r="A40" s="7" t="s">
        <v>77</v>
      </c>
      <c r="B40" s="15" t="s">
        <v>78</v>
      </c>
      <c r="C40" s="23" t="s">
        <v>26</v>
      </c>
      <c r="D40" s="18">
        <f>1.063*631.233252703503</f>
        <v>671.00094762382366</v>
      </c>
      <c r="E40" s="10">
        <f t="shared" si="0"/>
        <v>5.2981566832782491E-3</v>
      </c>
    </row>
    <row r="41" spans="1:5">
      <c r="A41" s="7" t="s">
        <v>79</v>
      </c>
      <c r="B41" s="15" t="s">
        <v>80</v>
      </c>
      <c r="C41" s="23" t="s">
        <v>22</v>
      </c>
      <c r="D41" s="18">
        <f>1.063*631.430855531692</f>
        <v>671.21099943018862</v>
      </c>
      <c r="E41" s="10">
        <f t="shared" si="0"/>
        <v>5.2998152314303318E-3</v>
      </c>
    </row>
    <row r="42" spans="1:5">
      <c r="A42" s="7" t="s">
        <v>81</v>
      </c>
      <c r="B42" s="15" t="s">
        <v>62</v>
      </c>
      <c r="C42" s="23" t="s">
        <v>63</v>
      </c>
      <c r="D42" s="18">
        <f>1.063*14.2633314165623</f>
        <v>15.161921295805724</v>
      </c>
      <c r="E42" s="10">
        <f t="shared" si="0"/>
        <v>1.1971702115947922E-4</v>
      </c>
    </row>
    <row r="43" spans="1:5" s="28" customFormat="1">
      <c r="A43" s="12" t="s">
        <v>82</v>
      </c>
      <c r="B43" s="26" t="s">
        <v>83</v>
      </c>
      <c r="C43" s="27" t="s">
        <v>84</v>
      </c>
      <c r="D43" s="18">
        <f>1.063*14016.6</f>
        <v>14899.6458</v>
      </c>
      <c r="E43" s="10">
        <f t="shared" si="0"/>
        <v>0.11764611995451962</v>
      </c>
    </row>
    <row r="44" spans="1:5" ht="25.5">
      <c r="A44" s="7" t="s">
        <v>116</v>
      </c>
      <c r="B44" s="29" t="s">
        <v>115</v>
      </c>
      <c r="C44" s="8" t="s">
        <v>85</v>
      </c>
      <c r="D44" s="11">
        <f>1.1*134243.05</f>
        <v>147667.35500000001</v>
      </c>
      <c r="E44" s="10">
        <f t="shared" si="0"/>
        <v>1.1659667345714106</v>
      </c>
    </row>
    <row r="45" spans="1:5" ht="38.25">
      <c r="A45" s="7" t="s">
        <v>117</v>
      </c>
      <c r="B45" s="29" t="s">
        <v>86</v>
      </c>
      <c r="C45" s="51" t="s">
        <v>87</v>
      </c>
      <c r="D45" s="11">
        <f>1.1*149593.68</f>
        <v>164553.04800000001</v>
      </c>
      <c r="E45" s="10">
        <f t="shared" si="0"/>
        <v>1.299294485503127</v>
      </c>
    </row>
    <row r="46" spans="1:5" ht="25.5">
      <c r="A46" s="7" t="s">
        <v>118</v>
      </c>
      <c r="B46" s="29" t="s">
        <v>88</v>
      </c>
      <c r="C46" s="51" t="s">
        <v>89</v>
      </c>
      <c r="D46" s="11">
        <f>1.1*114909.3</f>
        <v>126400.23000000001</v>
      </c>
      <c r="E46" s="10">
        <f t="shared" si="0"/>
        <v>0.99804363274587837</v>
      </c>
    </row>
    <row r="47" spans="1:5" ht="25.5">
      <c r="A47" s="7" t="s">
        <v>119</v>
      </c>
      <c r="B47" s="29" t="s">
        <v>90</v>
      </c>
      <c r="C47" s="51" t="s">
        <v>91</v>
      </c>
      <c r="D47" s="11">
        <f>1.1*5606.41</f>
        <v>6167.0510000000004</v>
      </c>
      <c r="E47" s="10">
        <f t="shared" si="0"/>
        <v>4.8694420756743101E-2</v>
      </c>
    </row>
    <row r="48" spans="1:5" ht="25.5">
      <c r="A48" s="7" t="s">
        <v>120</v>
      </c>
      <c r="B48" s="29" t="s">
        <v>92</v>
      </c>
      <c r="C48" s="51" t="s">
        <v>93</v>
      </c>
      <c r="D48" s="11">
        <f>1.1*247002.27</f>
        <v>271702.49700000003</v>
      </c>
      <c r="E48" s="10">
        <f t="shared" si="0"/>
        <v>2.1453358679173777</v>
      </c>
    </row>
    <row r="49" spans="1:6" ht="38.25">
      <c r="A49" s="7" t="s">
        <v>121</v>
      </c>
      <c r="B49" s="29" t="s">
        <v>95</v>
      </c>
      <c r="C49" s="51" t="s">
        <v>94</v>
      </c>
      <c r="D49" s="11">
        <f>1.063*65784</f>
        <v>69928.391999999993</v>
      </c>
      <c r="E49" s="10">
        <f t="shared" si="0"/>
        <v>0.55214762175478482</v>
      </c>
    </row>
    <row r="50" spans="1:6" ht="38.25">
      <c r="A50" s="30"/>
      <c r="B50" s="31" t="s">
        <v>97</v>
      </c>
      <c r="C50" s="52"/>
      <c r="D50" s="32">
        <f>D13+D14+D15+D16+D25+D44+D45+D46+D47+D48+D49</f>
        <v>1917627.8920299998</v>
      </c>
      <c r="E50" s="10">
        <f>D50/$C$6/12</f>
        <v>15.141398932711134</v>
      </c>
      <c r="F50" s="19"/>
    </row>
    <row r="51" spans="1:6" ht="191.25">
      <c r="A51" s="12" t="s">
        <v>122</v>
      </c>
      <c r="B51" s="13" t="s">
        <v>98</v>
      </c>
      <c r="C51" s="56" t="s">
        <v>99</v>
      </c>
      <c r="D51" s="32">
        <f>D50*20%</f>
        <v>383525.57840599999</v>
      </c>
      <c r="E51" s="10">
        <f t="shared" si="0"/>
        <v>3.0282797865422268</v>
      </c>
    </row>
    <row r="52" spans="1:6" ht="51">
      <c r="A52" s="33"/>
      <c r="B52" s="31" t="s">
        <v>100</v>
      </c>
      <c r="C52" s="34"/>
      <c r="D52" s="11">
        <f>D50+D51</f>
        <v>2301153.4704359998</v>
      </c>
      <c r="E52" s="10">
        <f>D52/$C$6/12</f>
        <v>18.169678719253362</v>
      </c>
      <c r="F52" s="19"/>
    </row>
    <row r="53" spans="1:6">
      <c r="A53" s="66" t="s">
        <v>113</v>
      </c>
      <c r="B53" s="67"/>
      <c r="C53" s="67"/>
      <c r="D53" s="67"/>
      <c r="E53" s="68"/>
      <c r="F53" s="19"/>
    </row>
    <row r="54" spans="1:6" ht="38.25">
      <c r="A54" s="35" t="s">
        <v>123</v>
      </c>
      <c r="B54" s="31" t="s">
        <v>112</v>
      </c>
      <c r="C54" s="34"/>
      <c r="D54" s="11">
        <f>E54*12*C6</f>
        <v>126648</v>
      </c>
      <c r="E54" s="10">
        <v>1</v>
      </c>
    </row>
    <row r="55" spans="1:6" ht="25.5">
      <c r="A55" s="7" t="s">
        <v>124</v>
      </c>
      <c r="B55" s="29" t="s">
        <v>96</v>
      </c>
      <c r="C55" s="8" t="s">
        <v>93</v>
      </c>
      <c r="D55" s="11">
        <f>1.1*217378.22</f>
        <v>239116.04200000002</v>
      </c>
      <c r="E55" s="10">
        <f>D55/C7/12</f>
        <v>1.9646763390289517</v>
      </c>
    </row>
    <row r="56" spans="1:6" ht="33.75">
      <c r="A56" s="7" t="s">
        <v>125</v>
      </c>
      <c r="B56" s="36" t="s">
        <v>110</v>
      </c>
      <c r="C56" s="53" t="s">
        <v>111</v>
      </c>
      <c r="D56" s="37">
        <f>87*522</f>
        <v>45414</v>
      </c>
      <c r="E56" s="37">
        <f>D56/12/$C$6</f>
        <v>0.35858442296759524</v>
      </c>
    </row>
    <row r="57" spans="1:6">
      <c r="A57" s="38"/>
      <c r="B57" s="39"/>
      <c r="C57" s="40"/>
      <c r="D57" s="41"/>
      <c r="E57" s="41"/>
    </row>
    <row r="58" spans="1:6">
      <c r="A58" s="1"/>
      <c r="B58" s="42"/>
      <c r="C58" s="42"/>
      <c r="D58" s="43"/>
      <c r="E58" s="44"/>
    </row>
    <row r="59" spans="1:6">
      <c r="A59" s="1"/>
      <c r="B59" s="45" t="s">
        <v>101</v>
      </c>
      <c r="C59" s="42"/>
      <c r="D59" s="43" t="s">
        <v>102</v>
      </c>
      <c r="E59" s="44"/>
    </row>
    <row r="60" spans="1:6">
      <c r="A60" s="1"/>
      <c r="B60" s="42"/>
      <c r="C60" s="42"/>
      <c r="D60" s="43"/>
      <c r="E60" s="44"/>
    </row>
    <row r="61" spans="1:6">
      <c r="A61" s="1"/>
      <c r="B61" s="45" t="s">
        <v>103</v>
      </c>
      <c r="C61" s="42"/>
      <c r="D61" s="43" t="s">
        <v>109</v>
      </c>
      <c r="E61" s="44"/>
    </row>
    <row r="62" spans="1:6">
      <c r="A62" s="1"/>
      <c r="B62" s="42"/>
      <c r="C62" s="42"/>
      <c r="D62" s="43"/>
      <c r="E62" s="44"/>
    </row>
    <row r="63" spans="1:6" ht="44.25" customHeight="1">
      <c r="A63" s="58" t="s">
        <v>104</v>
      </c>
      <c r="B63" s="59"/>
      <c r="C63" s="59"/>
      <c r="D63" s="59"/>
      <c r="E63" s="59"/>
    </row>
    <row r="64" spans="1:6" ht="41.25" customHeight="1">
      <c r="A64" s="58" t="s">
        <v>105</v>
      </c>
      <c r="B64" s="59"/>
      <c r="C64" s="59"/>
      <c r="D64" s="59"/>
      <c r="E64" s="59"/>
    </row>
    <row r="65" spans="2:3">
      <c r="B65" s="47"/>
      <c r="C65" s="47"/>
    </row>
    <row r="66" spans="2:3">
      <c r="B66" s="47"/>
      <c r="C66" s="47"/>
    </row>
    <row r="67" spans="2:3">
      <c r="B67" s="47"/>
      <c r="C67" s="47"/>
    </row>
    <row r="68" spans="2:3">
      <c r="B68" s="47"/>
      <c r="C68" s="47"/>
    </row>
    <row r="69" spans="2:3">
      <c r="B69" s="47"/>
      <c r="C69" s="47"/>
    </row>
    <row r="70" spans="2:3">
      <c r="B70" s="47"/>
      <c r="C70" s="47"/>
    </row>
    <row r="71" spans="2:3">
      <c r="B71" s="47"/>
      <c r="C71" s="47"/>
    </row>
    <row r="72" spans="2:3">
      <c r="B72" s="47"/>
      <c r="C72" s="47"/>
    </row>
    <row r="73" spans="2:3">
      <c r="B73" s="47"/>
      <c r="C73" s="47"/>
    </row>
    <row r="74" spans="2:3">
      <c r="B74" s="47"/>
      <c r="C74" s="47"/>
    </row>
    <row r="75" spans="2:3">
      <c r="B75" s="47"/>
      <c r="C75" s="47"/>
    </row>
    <row r="76" spans="2:3">
      <c r="B76" s="47"/>
      <c r="C76" s="47"/>
    </row>
    <row r="77" spans="2:3">
      <c r="B77" s="47"/>
      <c r="C77" s="47"/>
    </row>
    <row r="78" spans="2:3">
      <c r="B78" s="47"/>
      <c r="C78" s="47"/>
    </row>
    <row r="79" spans="2:3">
      <c r="B79" s="47"/>
      <c r="C79" s="47"/>
    </row>
    <row r="80" spans="2:3">
      <c r="B80" s="47"/>
      <c r="C80" s="47"/>
    </row>
    <row r="81" spans="2:3">
      <c r="B81" s="47"/>
      <c r="C81" s="47"/>
    </row>
    <row r="82" spans="2:3">
      <c r="B82" s="47"/>
      <c r="C82" s="47"/>
    </row>
    <row r="83" spans="2:3">
      <c r="B83" s="47"/>
      <c r="C83" s="47"/>
    </row>
    <row r="84" spans="2:3">
      <c r="B84" s="47"/>
      <c r="C84" s="47"/>
    </row>
    <row r="85" spans="2:3">
      <c r="B85" s="47"/>
      <c r="C85" s="47"/>
    </row>
    <row r="86" spans="2:3">
      <c r="B86" s="47"/>
      <c r="C86" s="47"/>
    </row>
    <row r="87" spans="2:3">
      <c r="B87" s="47"/>
      <c r="C87" s="47"/>
    </row>
    <row r="88" spans="2:3">
      <c r="B88" s="47"/>
      <c r="C88" s="47"/>
    </row>
    <row r="89" spans="2:3">
      <c r="B89" s="47"/>
      <c r="C89" s="47"/>
    </row>
    <row r="90" spans="2:3">
      <c r="B90" s="47"/>
      <c r="C90" s="47"/>
    </row>
    <row r="91" spans="2:3">
      <c r="B91" s="47"/>
      <c r="C91" s="47"/>
    </row>
    <row r="92" spans="2:3">
      <c r="B92" s="47"/>
      <c r="C92" s="47"/>
    </row>
    <row r="93" spans="2:3">
      <c r="B93" s="47"/>
      <c r="C93" s="47"/>
    </row>
    <row r="94" spans="2:3">
      <c r="B94" s="47"/>
      <c r="C94" s="47"/>
    </row>
    <row r="95" spans="2:3">
      <c r="B95" s="47"/>
      <c r="C95" s="47"/>
    </row>
    <row r="96" spans="2:3">
      <c r="B96" s="47"/>
      <c r="C96" s="47"/>
    </row>
    <row r="97" spans="2:3">
      <c r="B97" s="47"/>
      <c r="C97" s="47"/>
    </row>
    <row r="98" spans="2:3">
      <c r="B98" s="47"/>
      <c r="C98" s="47"/>
    </row>
    <row r="99" spans="2:3">
      <c r="B99" s="47"/>
      <c r="C99" s="47"/>
    </row>
    <row r="100" spans="2:3">
      <c r="B100" s="47"/>
      <c r="C100" s="47"/>
    </row>
    <row r="101" spans="2:3">
      <c r="B101" s="47"/>
      <c r="C101" s="47"/>
    </row>
  </sheetData>
  <sheetProtection password="ED33" sheet="1" objects="1" scenarios="1"/>
  <mergeCells count="22">
    <mergeCell ref="C1:E1"/>
    <mergeCell ref="C7:E7"/>
    <mergeCell ref="A7:B7"/>
    <mergeCell ref="A9:B9"/>
    <mergeCell ref="C9:E9"/>
    <mergeCell ref="A3:E3"/>
    <mergeCell ref="A4:B4"/>
    <mergeCell ref="C4:E4"/>
    <mergeCell ref="C2:E2"/>
    <mergeCell ref="A5:B5"/>
    <mergeCell ref="C5:E5"/>
    <mergeCell ref="A6:B6"/>
    <mergeCell ref="C6:E6"/>
    <mergeCell ref="A63:E63"/>
    <mergeCell ref="A64:E64"/>
    <mergeCell ref="A8:B8"/>
    <mergeCell ref="C8:E8"/>
    <mergeCell ref="A11:B11"/>
    <mergeCell ref="A10:B10"/>
    <mergeCell ref="C10:E10"/>
    <mergeCell ref="A53:E53"/>
    <mergeCell ref="A12:E12"/>
  </mergeCells>
  <pageMargins left="0.70866141732283472" right="0.70866141732283472" top="0.94488188976377963" bottom="0.74803149606299213" header="0.31496062992125984" footer="0.31496062992125984"/>
  <pageSetup paperSize="9" scale="85" orientation="portrait" horizontalDpi="180" verticalDpi="180" r:id="rId1"/>
  <rowBreaks count="2" manualBreakCount="2">
    <brk id="26" max="4" man="1"/>
    <brk id="5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65+6%</vt:lpstr>
      <vt:lpstr>'65+6%'!Область_печати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cp:lastPrinted>2014-01-11T07:48:42Z</cp:lastPrinted>
  <dcterms:created xsi:type="dcterms:W3CDTF">2013-10-16T06:37:05Z</dcterms:created>
  <dcterms:modified xsi:type="dcterms:W3CDTF">2014-01-17T04:47:36Z</dcterms:modified>
</cp:coreProperties>
</file>