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52+6%" sheetId="1" r:id="rId1"/>
  </sheets>
  <definedNames>
    <definedName name="_xlnm.Print_Area" localSheetId="0">'52+6%'!$A$1:$K$69</definedName>
  </definedNames>
  <calcPr calcId="124519"/>
</workbook>
</file>

<file path=xl/calcChain.xml><?xml version="1.0" encoding="utf-8"?>
<calcChain xmlns="http://schemas.openxmlformats.org/spreadsheetml/2006/main">
  <c r="J54" i="1"/>
  <c r="J15" l="1"/>
  <c r="I49"/>
  <c r="I52" l="1"/>
  <c r="J57"/>
  <c r="I57"/>
  <c r="I56"/>
  <c r="J16" l="1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I53"/>
  <c r="I54" s="1"/>
  <c r="G9"/>
  <c r="I51"/>
  <c r="J53" l="1"/>
  <c r="H15"/>
  <c r="I15" s="1"/>
  <c r="H57" l="1"/>
  <c r="H51" l="1"/>
  <c r="H50"/>
  <c r="H49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H56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15"/>
  <c r="H52" l="1"/>
  <c r="I16"/>
  <c r="H53"/>
  <c r="H54" s="1"/>
  <c r="K54" s="1"/>
  <c r="K52"/>
  <c r="K57"/>
  <c r="D57"/>
  <c r="C57" s="1"/>
  <c r="E57" s="1"/>
  <c r="E53"/>
  <c r="F53" s="1"/>
  <c r="E51"/>
  <c r="E50"/>
  <c r="E49"/>
  <c r="E48"/>
  <c r="E47"/>
  <c r="E44"/>
  <c r="E43"/>
  <c r="E42"/>
  <c r="E41"/>
  <c r="E40"/>
  <c r="E39"/>
  <c r="E38"/>
  <c r="D37"/>
  <c r="E36"/>
  <c r="E35"/>
  <c r="E34"/>
  <c r="E33"/>
  <c r="E32"/>
  <c r="E31"/>
  <c r="E30"/>
  <c r="E29"/>
  <c r="D28"/>
  <c r="D27" s="1"/>
  <c r="E26"/>
  <c r="E25"/>
  <c r="E24"/>
  <c r="E23"/>
  <c r="E22"/>
  <c r="E21"/>
  <c r="E20"/>
  <c r="E19"/>
  <c r="D18"/>
  <c r="E17"/>
  <c r="E16"/>
  <c r="E15"/>
  <c r="E18" l="1"/>
  <c r="K53"/>
  <c r="E28"/>
  <c r="D52"/>
  <c r="D54" s="1"/>
  <c r="E27"/>
  <c r="E52" s="1"/>
  <c r="E54" l="1"/>
  <c r="F54" s="1"/>
  <c r="F15"/>
</calcChain>
</file>

<file path=xl/sharedStrings.xml><?xml version="1.0" encoding="utf-8"?>
<sst xmlns="http://schemas.openxmlformats.org/spreadsheetml/2006/main" count="185" uniqueCount="135">
  <si>
    <t>Приложение №____________</t>
  </si>
  <si>
    <t>к Договору управления многоквартирным домом____</t>
  </si>
  <si>
    <t>Характеристика МКД</t>
  </si>
  <si>
    <t>12-ти этажный кирпичный многоквартирный дом (от 10 до 30 лет эксплуатации)</t>
  </si>
  <si>
    <t>Количество подъездов</t>
  </si>
  <si>
    <t>Площадь жилых помещений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</si>
  <si>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</si>
  <si>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</si>
  <si>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</si>
  <si>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r>
      <t xml:space="preserve">Стоимость работ и услуг в </t>
    </r>
    <r>
      <rPr>
        <b/>
        <u/>
        <sz val="10"/>
        <color indexed="8"/>
        <rFont val="Times New Roman"/>
        <family val="1"/>
        <charset val="204"/>
      </rPr>
      <t>год,</t>
    </r>
    <r>
      <rPr>
        <sz val="10"/>
        <color theme="1"/>
        <rFont val="Times New Roman"/>
        <family val="1"/>
        <charset val="204"/>
      </rPr>
      <t xml:space="preserve"> руб.</t>
    </r>
  </si>
  <si>
    <t>Цена работ и услуг на 1 кв.м. площади помещений в месяц, руб.</t>
  </si>
  <si>
    <t>Размер платы за 1 кв.м. площади помещений в месяц, руб.</t>
  </si>
  <si>
    <t>Сумма затрат в год, руб.</t>
  </si>
  <si>
    <t>1.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</si>
  <si>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</si>
  <si>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</si>
  <si>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2.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</si>
  <si>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</si>
  <si>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</si>
  <si>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3.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</si>
  <si>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</si>
  <si>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</si>
  <si>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4.</t>
  </si>
  <si>
    <t>Санитарное содержание лестничных клеток</t>
  </si>
  <si>
    <t>4.1.</t>
  </si>
  <si>
    <t>влажная уборка лестничных площадок и маршей</t>
  </si>
  <si>
    <t>нижние три этажа - 5 раз в неделю, выше третьего этажа и места перед загрузочными клапанами - 2 раза в неделю</t>
  </si>
  <si>
    <t>4.2.</t>
  </si>
  <si>
    <t>мытье лестничных площадок и маршей</t>
  </si>
  <si>
    <t>1 раз в месяц</t>
  </si>
  <si>
    <t>4.3.</t>
  </si>
  <si>
    <t>мытье полов кабины лифтов</t>
  </si>
  <si>
    <t>2 раза в неделю</t>
  </si>
  <si>
    <t>5 раз в неделю</t>
  </si>
  <si>
    <t>4.4.</t>
  </si>
  <si>
    <t>мытье стен, дверей, оконных ограждений, перил, чердачных лестниц, плафонов, почтовых ящикв, шкафов для электросчитков и слаботочных устройств, обметание пыли с потолков</t>
  </si>
  <si>
    <t>1 раз в год</t>
  </si>
  <si>
    <t>2 раза в год</t>
  </si>
  <si>
    <t>4.5.</t>
  </si>
  <si>
    <t>влажная протирка стен, дверей, потолков и пллафонов кабины лифта,подоконников, почтовых ящиков</t>
  </si>
  <si>
    <t>4.6.</t>
  </si>
  <si>
    <t xml:space="preserve">влажная протирка   отопительных приборов. </t>
  </si>
  <si>
    <t>4.7.</t>
  </si>
  <si>
    <t>мытье окон</t>
  </si>
  <si>
    <t>4.8.</t>
  </si>
  <si>
    <t>уборка крыльца</t>
  </si>
  <si>
    <t>1 раз в неделю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</si>
  <si>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</si>
  <si>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</si>
  <si>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</si>
  <si>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</si>
  <si>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</si>
  <si>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сутки</t>
  </si>
  <si>
    <t>5.1.2.</t>
  </si>
  <si>
    <t>сдвигание свежевыпавшего снега в дни сильных снегопадов</t>
  </si>
  <si>
    <t xml:space="preserve"> 2 раза в сутки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</si>
  <si>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</si>
  <si>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</si>
  <si>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</si>
  <si>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</si>
  <si>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</si>
  <si>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</si>
  <si>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</si>
  <si>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6 раз в холодный период</t>
  </si>
  <si>
    <t>5.1.6.</t>
  </si>
  <si>
    <t>очистка контейнерной площадки</t>
  </si>
  <si>
    <t>5.1.7.</t>
  </si>
  <si>
    <t>сметание снега со ступеней и площадки перед входом в подъезд</t>
  </si>
  <si>
    <t>4 раза в неделю</t>
  </si>
  <si>
    <t>5.1.8.</t>
  </si>
  <si>
    <t>протирка указателей</t>
  </si>
  <si>
    <t>2 раза за период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</si>
  <si>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</si>
  <si>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</si>
  <si>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</si>
  <si>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</si>
  <si>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</si>
  <si>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</si>
  <si>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</si>
  <si>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</si>
  <si>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</si>
  <si>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</si>
  <si>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1 раз в двое суток</t>
  </si>
  <si>
    <t>5.2.4.</t>
  </si>
  <si>
    <t>подметание ступеней и площадок перед входом в подъезд</t>
  </si>
  <si>
    <t>5.2.5.</t>
  </si>
  <si>
    <t>уборка контейнерной площадки</t>
  </si>
  <si>
    <t>5.2.6.</t>
  </si>
  <si>
    <t xml:space="preserve">уборка приямков </t>
  </si>
  <si>
    <t>5.2.7.</t>
  </si>
  <si>
    <t>5.2.8.</t>
  </si>
  <si>
    <t>озеленение, кошение газонов</t>
  </si>
  <si>
    <t>в течении летнего периода</t>
  </si>
  <si>
    <t>6.</t>
  </si>
  <si>
    <t>7.</t>
  </si>
  <si>
    <t>8.</t>
  </si>
  <si>
    <t>Сбор, вывоз и утилизация крупногабаритных бытовых отходов</t>
  </si>
  <si>
    <t>по мере необходимости (1 раз в неделю)</t>
  </si>
  <si>
    <t>9.</t>
  </si>
  <si>
    <t>Сбор, вывоз и утилизация твердых бытовых отходов</t>
  </si>
  <si>
    <t>не реже одного раза в сутки</t>
  </si>
  <si>
    <t>10.</t>
  </si>
  <si>
    <t>Дератизация, дезинсекция</t>
  </si>
  <si>
    <t>дератизация - 1 раз в квартал, дезинсекция - 2 раза в год</t>
  </si>
  <si>
    <t>11.</t>
  </si>
  <si>
    <t>Обслуживание  лифтов</t>
  </si>
  <si>
    <t>ежемесячно, согласно договору со специализированной организацией</t>
  </si>
  <si>
    <t>12.</t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</si>
  <si>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вводоснабжение)</t>
    </r>
  </si>
  <si>
    <t>ИТОГО  содержание общего имущества в многоквартирном доме</t>
  </si>
  <si>
    <t>УПРАВЛЕНИЕ МНОГОКВАРТИРНЫМ ДОМОМ</t>
  </si>
  <si>
    <t xml:space="preserve"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риему заявок от населения и функций, связанных с регистрацией граждан и др. </t>
  </si>
  <si>
    <t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</si>
  <si>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</si>
  <si>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Директор ООО "КЖЭК "Горский"</t>
  </si>
  <si>
    <t>С.В. Занина</t>
  </si>
  <si>
    <t>Экономист</t>
  </si>
  <si>
    <r>
      <rPr>
        <u/>
        <sz val="10"/>
        <color indexed="8"/>
        <rFont val="Times New Roman"/>
        <family val="1"/>
        <charset val="204"/>
      </rPr>
      <t>Примечание</t>
    </r>
    <r>
      <rPr>
        <sz val="10"/>
        <color indexed="8"/>
        <rFont val="Times New Roman"/>
        <family val="1"/>
        <charset val="204"/>
      </rPr>
      <t>: Уважаемые собственники, согласно ст.156 п.7 ЖК Вам необходимо провести собрание по утверждению перечня, периодичности и стоимости работ и услуг по содержанию и ремонту общего имущества Многоквартирного дома на 2014 год.</t>
    </r>
  </si>
  <si>
    <t xml:space="preserve">В случае не утверждения общим собранием тарифа на 2014 год Управляющая Компания по истечении 30 календарных дней производит начисление за текущее содержание в соответствии с данным тарифом с 01.01.2014 года. </t>
  </si>
  <si>
    <t>Площадь дворовой территории</t>
  </si>
  <si>
    <t>м-н Горский 52</t>
  </si>
  <si>
    <t>Перечень и периодичность работ и услуг по содержанию и ремонту общего имущества многоквартирного дома № 52 м-на Горский 
с 01.01.2014 по 31.12.2014 гг.</t>
  </si>
  <si>
    <t>По мере необходимости (во время обильных снегопадов с последующей корректировкой)</t>
  </si>
  <si>
    <t>Замена ламп накаливания на энергосберегающие</t>
  </si>
  <si>
    <t xml:space="preserve"> (Согласно закона №261 от 18.11.2009г. "Об энергосбережении и о повышении энергетической эффективности" Ст.12 п.4 )-258 шт.</t>
  </si>
  <si>
    <t>Раздел 1. Содержание общего имущества дома</t>
  </si>
  <si>
    <t xml:space="preserve">Автоуслуги по вывозу снега, механизированная уборка  дворовой территории    </t>
  </si>
  <si>
    <t>5.</t>
  </si>
  <si>
    <t>М.А. Иващук</t>
  </si>
  <si>
    <t>Раздел 2. Дополнительные работы</t>
  </si>
  <si>
    <t>Общая площадь помещений</t>
  </si>
  <si>
    <t xml:space="preserve">Общая площадь помещений </t>
  </si>
  <si>
    <t>на основании договора</t>
  </si>
  <si>
    <t>Сбор денежных средств для формирования резерва на текущий ремонт</t>
  </si>
  <si>
    <t>на основании договоров, S подвала уменьшена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</si>
</sst>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4" fontId="0" fillId="2" borderId="0" xfId="0" applyNumberFormat="1" applyFill="1"/>
    <xf numFmtId="0" fontId="0" fillId="2" borderId="0" xfId="0" applyFill="1"/>
    <xf numFmtId="0" fontId="2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4" fontId="2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13" fillId="0" borderId="0" xfId="0" applyFont="1" applyFill="1"/>
    <xf numFmtId="0" fontId="15" fillId="0" borderId="0" xfId="0" applyFont="1" applyFill="1" applyAlignment="1">
      <alignment horizontal="center" vertical="center"/>
    </xf>
    <xf numFmtId="0" fontId="16" fillId="0" borderId="0" xfId="0" applyFont="1" applyFill="1"/>
    <xf numFmtId="0" fontId="17" fillId="0" borderId="0" xfId="0" applyFont="1" applyFill="1"/>
    <xf numFmtId="0" fontId="5" fillId="0" borderId="0" xfId="0" applyFont="1" applyFill="1"/>
    <xf numFmtId="4" fontId="5" fillId="2" borderId="0" xfId="0" applyNumberFormat="1" applyFont="1" applyFill="1"/>
    <xf numFmtId="0" fontId="5" fillId="2" borderId="0" xfId="0" applyFont="1" applyFill="1" applyAlignment="1">
      <alignment horizontal="center" vertical="center"/>
    </xf>
    <xf numFmtId="0" fontId="1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4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BreakPreview" zoomScale="85" zoomScaleSheetLayoutView="85" workbookViewId="0">
      <selection activeCell="A3" sqref="A3:K3"/>
    </sheetView>
  </sheetViews>
  <sheetFormatPr defaultRowHeight="15"/>
  <cols>
    <col min="1" max="1" width="4.5703125" style="71" customWidth="1"/>
    <col min="2" max="2" width="27.42578125" style="74" customWidth="1"/>
    <col min="3" max="3" width="66.28515625" style="74" hidden="1" customWidth="1"/>
    <col min="4" max="4" width="14.85546875" style="77" hidden="1" customWidth="1"/>
    <col min="5" max="6" width="16" style="74" hidden="1" customWidth="1"/>
    <col min="7" max="7" width="39.7109375" style="74" customWidth="1"/>
    <col min="8" max="8" width="13.42578125" style="75" hidden="1" customWidth="1"/>
    <col min="9" max="9" width="13.42578125" style="75" customWidth="1"/>
    <col min="10" max="10" width="15.28515625" style="76" customWidth="1"/>
    <col min="11" max="11" width="15.28515625" style="76" hidden="1" customWidth="1"/>
    <col min="12" max="12" width="11.42578125" bestFit="1" customWidth="1"/>
  </cols>
  <sheetData>
    <row r="1" spans="1:12">
      <c r="A1" s="1"/>
      <c r="B1" s="2"/>
      <c r="C1" s="3"/>
      <c r="D1" s="4"/>
      <c r="E1" s="3"/>
      <c r="F1" s="3"/>
      <c r="G1" s="103" t="s">
        <v>0</v>
      </c>
      <c r="H1" s="103"/>
      <c r="I1" s="103"/>
      <c r="J1" s="103"/>
      <c r="K1" s="103"/>
    </row>
    <row r="2" spans="1:12">
      <c r="A2" s="1"/>
      <c r="B2" s="2"/>
      <c r="C2" s="3"/>
      <c r="D2" s="4"/>
      <c r="E2" s="3"/>
      <c r="F2" s="3"/>
      <c r="G2" s="103" t="s">
        <v>1</v>
      </c>
      <c r="H2" s="103"/>
      <c r="I2" s="103"/>
      <c r="J2" s="103"/>
      <c r="K2" s="103"/>
    </row>
    <row r="3" spans="1:12" ht="63" customHeight="1">
      <c r="A3" s="99" t="s">
        <v>121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2">
      <c r="A4" s="100" t="s">
        <v>2</v>
      </c>
      <c r="B4" s="91"/>
      <c r="C4" s="101" t="s">
        <v>3</v>
      </c>
      <c r="D4" s="101"/>
      <c r="E4" s="101"/>
      <c r="F4" s="102"/>
      <c r="G4" s="101" t="s">
        <v>120</v>
      </c>
      <c r="H4" s="101"/>
      <c r="I4" s="101"/>
      <c r="J4" s="101"/>
      <c r="K4" s="102"/>
    </row>
    <row r="5" spans="1:12">
      <c r="A5" s="100" t="s">
        <v>4</v>
      </c>
      <c r="B5" s="91"/>
      <c r="C5" s="90">
        <v>4</v>
      </c>
      <c r="D5" s="102"/>
      <c r="E5" s="102"/>
      <c r="F5" s="102"/>
      <c r="G5" s="90">
        <v>4</v>
      </c>
      <c r="H5" s="102"/>
      <c r="I5" s="102"/>
      <c r="J5" s="102"/>
      <c r="K5" s="102"/>
    </row>
    <row r="6" spans="1:12" ht="14.25" hidden="1" customHeight="1">
      <c r="A6" s="90" t="s">
        <v>131</v>
      </c>
      <c r="B6" s="91"/>
      <c r="C6" s="104">
        <v>5150</v>
      </c>
      <c r="D6" s="105"/>
      <c r="E6" s="105"/>
      <c r="F6" s="106"/>
      <c r="G6" s="107">
        <v>12803.9</v>
      </c>
      <c r="H6" s="108"/>
      <c r="I6" s="108"/>
      <c r="J6" s="108"/>
      <c r="K6" s="109"/>
    </row>
    <row r="7" spans="1:12" ht="14.25" hidden="1" customHeight="1">
      <c r="A7" s="95" t="s">
        <v>5</v>
      </c>
      <c r="B7" s="96"/>
      <c r="C7" s="5"/>
      <c r="D7" s="6"/>
      <c r="E7" s="6"/>
      <c r="F7" s="7"/>
      <c r="G7" s="119">
        <v>12379.9</v>
      </c>
      <c r="H7" s="98"/>
      <c r="I7" s="98"/>
      <c r="J7" s="98"/>
      <c r="K7" s="96"/>
    </row>
    <row r="8" spans="1:12" ht="14.25" hidden="1" customHeight="1">
      <c r="A8" s="95" t="s">
        <v>6</v>
      </c>
      <c r="B8" s="96"/>
      <c r="C8" s="5"/>
      <c r="D8" s="6"/>
      <c r="E8" s="6"/>
      <c r="F8" s="7"/>
      <c r="G8" s="119">
        <v>424</v>
      </c>
      <c r="H8" s="98"/>
      <c r="I8" s="98"/>
      <c r="J8" s="98"/>
      <c r="K8" s="96"/>
      <c r="L8" s="8"/>
    </row>
    <row r="9" spans="1:12" ht="14.25" customHeight="1">
      <c r="A9" s="90" t="s">
        <v>130</v>
      </c>
      <c r="B9" s="91"/>
      <c r="C9" s="85"/>
      <c r="D9" s="86"/>
      <c r="E9" s="86"/>
      <c r="F9" s="87"/>
      <c r="G9" s="92">
        <f>G10+G11</f>
        <v>13164.5</v>
      </c>
      <c r="H9" s="93"/>
      <c r="I9" s="93"/>
      <c r="J9" s="93"/>
      <c r="K9" s="94"/>
    </row>
    <row r="10" spans="1:12" ht="14.25" customHeight="1">
      <c r="A10" s="95" t="s">
        <v>5</v>
      </c>
      <c r="B10" s="96"/>
      <c r="C10" s="85"/>
      <c r="D10" s="86"/>
      <c r="E10" s="86"/>
      <c r="F10" s="87"/>
      <c r="G10" s="97">
        <v>12379.9</v>
      </c>
      <c r="H10" s="98"/>
      <c r="I10" s="98"/>
      <c r="J10" s="98"/>
      <c r="K10" s="96"/>
    </row>
    <row r="11" spans="1:12" ht="14.25" customHeight="1">
      <c r="A11" s="95" t="s">
        <v>6</v>
      </c>
      <c r="B11" s="96"/>
      <c r="C11" s="85"/>
      <c r="D11" s="86"/>
      <c r="E11" s="86"/>
      <c r="F11" s="87"/>
      <c r="G11" s="97">
        <v>784.6</v>
      </c>
      <c r="H11" s="98"/>
      <c r="I11" s="98"/>
      <c r="J11" s="98"/>
      <c r="K11" s="96"/>
      <c r="L11" s="8"/>
    </row>
    <row r="12" spans="1:12" ht="14.25" customHeight="1">
      <c r="A12" s="95" t="s">
        <v>119</v>
      </c>
      <c r="B12" s="96"/>
      <c r="C12" s="80"/>
      <c r="D12" s="79"/>
      <c r="E12" s="79"/>
      <c r="F12" s="81"/>
      <c r="G12" s="119">
        <v>4682.16</v>
      </c>
      <c r="H12" s="98"/>
      <c r="I12" s="98"/>
      <c r="J12" s="98"/>
      <c r="K12" s="96"/>
      <c r="L12" s="8"/>
    </row>
    <row r="13" spans="1:12" ht="53.25" customHeight="1">
      <c r="A13" s="120" t="s">
        <v>7</v>
      </c>
      <c r="B13" s="91"/>
      <c r="C13" s="9" t="s">
        <v>8</v>
      </c>
      <c r="D13" s="10" t="s">
        <v>9</v>
      </c>
      <c r="E13" s="11" t="s">
        <v>10</v>
      </c>
      <c r="F13" s="11" t="s">
        <v>11</v>
      </c>
      <c r="G13" s="9" t="s">
        <v>8</v>
      </c>
      <c r="H13" s="89" t="s">
        <v>12</v>
      </c>
      <c r="I13" s="88" t="s">
        <v>12</v>
      </c>
      <c r="J13" s="88" t="s">
        <v>11</v>
      </c>
      <c r="K13" s="12" t="s">
        <v>11</v>
      </c>
    </row>
    <row r="14" spans="1:12">
      <c r="A14" s="13"/>
      <c r="B14" s="101" t="s">
        <v>125</v>
      </c>
      <c r="C14" s="121"/>
      <c r="D14" s="121"/>
      <c r="E14" s="121"/>
      <c r="F14" s="121"/>
      <c r="G14" s="105"/>
      <c r="H14" s="14"/>
      <c r="I14" s="14"/>
      <c r="J14" s="15"/>
      <c r="K14" s="15"/>
    </row>
    <row r="15" spans="1:12" ht="144">
      <c r="A15" s="13" t="s">
        <v>13</v>
      </c>
      <c r="B15" s="16" t="s">
        <v>14</v>
      </c>
      <c r="C15" s="17" t="s">
        <v>15</v>
      </c>
      <c r="D15" s="18">
        <v>87976.44</v>
      </c>
      <c r="E15" s="18">
        <f>D15/12/5150</f>
        <v>1.4235669902912622</v>
      </c>
      <c r="F15" s="110" t="e">
        <f>E52</f>
        <v>#REF!</v>
      </c>
      <c r="G15" s="83" t="s">
        <v>15</v>
      </c>
      <c r="H15" s="20">
        <f>1.063*397462.58</f>
        <v>422502.72253999999</v>
      </c>
      <c r="I15" s="20">
        <f t="shared" ref="I15:I26" si="0">H15*$G$9/$G$6</f>
        <v>434401.7909291567</v>
      </c>
      <c r="J15" s="21">
        <f>I15/12/$G$9</f>
        <v>2.7498309274257582</v>
      </c>
      <c r="K15" s="21">
        <f>H15/12/$G$6</f>
        <v>2.7498309274257582</v>
      </c>
    </row>
    <row r="16" spans="1:12" ht="84">
      <c r="A16" s="13" t="s">
        <v>16</v>
      </c>
      <c r="B16" s="16" t="s">
        <v>17</v>
      </c>
      <c r="C16" s="17" t="s">
        <v>18</v>
      </c>
      <c r="D16" s="18">
        <v>114756.45</v>
      </c>
      <c r="E16" s="18">
        <f>D16/12/5150</f>
        <v>1.8569004854368933</v>
      </c>
      <c r="F16" s="111"/>
      <c r="G16" s="83" t="s">
        <v>18</v>
      </c>
      <c r="H16" s="20">
        <f>1.063*288768.25</f>
        <v>306960.64974999998</v>
      </c>
      <c r="I16" s="20">
        <f t="shared" si="0"/>
        <v>315605.67277422309</v>
      </c>
      <c r="J16" s="21">
        <f t="shared" ref="J16:J53" si="1">I16/12/$G$9</f>
        <v>1.9978330153963506</v>
      </c>
      <c r="K16" s="21">
        <f t="shared" ref="K16:K53" si="2">H16/12/$G$6</f>
        <v>1.9978330153963506</v>
      </c>
      <c r="L16" s="8"/>
    </row>
    <row r="17" spans="1:12" ht="38.25" customHeight="1">
      <c r="A17" s="13" t="s">
        <v>19</v>
      </c>
      <c r="B17" s="16" t="s">
        <v>20</v>
      </c>
      <c r="C17" s="22" t="s">
        <v>21</v>
      </c>
      <c r="D17" s="19">
        <v>35844</v>
      </c>
      <c r="E17" s="18">
        <f>D17/12/5150</f>
        <v>0.57999999999999996</v>
      </c>
      <c r="F17" s="111"/>
      <c r="G17" s="22" t="s">
        <v>21</v>
      </c>
      <c r="H17" s="23">
        <f>1.063*192945.59</f>
        <v>205101.16217</v>
      </c>
      <c r="I17" s="20">
        <f t="shared" si="0"/>
        <v>210877.4864991889</v>
      </c>
      <c r="J17" s="21">
        <f t="shared" si="1"/>
        <v>1.334887301069726</v>
      </c>
      <c r="K17" s="21">
        <f t="shared" si="2"/>
        <v>1.334887301069726</v>
      </c>
    </row>
    <row r="18" spans="1:12" ht="27" customHeight="1">
      <c r="A18" s="24" t="s">
        <v>22</v>
      </c>
      <c r="B18" s="25" t="s">
        <v>23</v>
      </c>
      <c r="C18" s="26"/>
      <c r="D18" s="27">
        <f>D19+D20+D21+D22+D23+D24+D25+D26</f>
        <v>203408.5</v>
      </c>
      <c r="E18" s="27">
        <f>E19+E20+E21+E22+E23+E24+E25+E26</f>
        <v>3.2913996763754048</v>
      </c>
      <c r="F18" s="111"/>
      <c r="G18" s="26"/>
      <c r="H18" s="23">
        <f>1.063*207377.48</f>
        <v>220442.26123999999</v>
      </c>
      <c r="I18" s="20">
        <f t="shared" si="0"/>
        <v>226650.64145252461</v>
      </c>
      <c r="J18" s="21">
        <f t="shared" si="1"/>
        <v>1.4347338261519276</v>
      </c>
      <c r="K18" s="21">
        <f t="shared" si="2"/>
        <v>1.4347338261519278</v>
      </c>
    </row>
    <row r="19" spans="1:12" ht="38.25">
      <c r="A19" s="13" t="s">
        <v>24</v>
      </c>
      <c r="B19" s="28" t="s">
        <v>25</v>
      </c>
      <c r="C19" s="10" t="s">
        <v>26</v>
      </c>
      <c r="D19" s="29">
        <v>181214.85</v>
      </c>
      <c r="E19" s="29">
        <f t="shared" ref="E19:E27" si="3">D19/12/5150</f>
        <v>2.9322791262135923</v>
      </c>
      <c r="F19" s="111"/>
      <c r="G19" s="10" t="s">
        <v>26</v>
      </c>
      <c r="H19" s="30">
        <f>1.063*184750.77949829</f>
        <v>196390.07860668228</v>
      </c>
      <c r="I19" s="20">
        <f t="shared" si="0"/>
        <v>201921.07012845064</v>
      </c>
      <c r="J19" s="21">
        <f t="shared" si="1"/>
        <v>1.2781917918673367</v>
      </c>
      <c r="K19" s="31">
        <f t="shared" si="2"/>
        <v>1.2781917918673367</v>
      </c>
    </row>
    <row r="20" spans="1:12" ht="29.25" customHeight="1">
      <c r="A20" s="13" t="s">
        <v>27</v>
      </c>
      <c r="B20" s="28" t="s">
        <v>28</v>
      </c>
      <c r="C20" s="10" t="s">
        <v>29</v>
      </c>
      <c r="D20" s="29">
        <v>18670.939999999999</v>
      </c>
      <c r="E20" s="29">
        <f t="shared" si="3"/>
        <v>0.30211877022653721</v>
      </c>
      <c r="F20" s="111"/>
      <c r="G20" s="10" t="s">
        <v>29</v>
      </c>
      <c r="H20" s="30">
        <f>1.063*19035.2541139195</f>
        <v>20234.475123096425</v>
      </c>
      <c r="I20" s="20">
        <f t="shared" si="0"/>
        <v>20804.34459485023</v>
      </c>
      <c r="J20" s="21">
        <f t="shared" si="1"/>
        <v>0.13169473834207041</v>
      </c>
      <c r="K20" s="31">
        <f t="shared" si="2"/>
        <v>0.13169473834207043</v>
      </c>
    </row>
    <row r="21" spans="1:12">
      <c r="A21" s="13" t="s">
        <v>30</v>
      </c>
      <c r="B21" s="28" t="s">
        <v>31</v>
      </c>
      <c r="C21" s="10" t="s">
        <v>32</v>
      </c>
      <c r="D21" s="29">
        <v>533.26</v>
      </c>
      <c r="E21" s="29">
        <f t="shared" si="3"/>
        <v>8.6288025889967642E-3</v>
      </c>
      <c r="F21" s="111"/>
      <c r="G21" s="10" t="s">
        <v>32</v>
      </c>
      <c r="H21" s="30">
        <f>1.063*543.665161410659</f>
        <v>577.91606657953048</v>
      </c>
      <c r="I21" s="20">
        <f t="shared" si="0"/>
        <v>594.19208666783004</v>
      </c>
      <c r="J21" s="21">
        <f t="shared" si="1"/>
        <v>3.7613283620585034E-3</v>
      </c>
      <c r="K21" s="31">
        <f t="shared" si="2"/>
        <v>3.7613283620585034E-3</v>
      </c>
    </row>
    <row r="22" spans="1:12" ht="89.25">
      <c r="A22" s="13" t="s">
        <v>34</v>
      </c>
      <c r="B22" s="28" t="s">
        <v>35</v>
      </c>
      <c r="C22" s="10" t="s">
        <v>36</v>
      </c>
      <c r="D22" s="29">
        <v>1216.8599999999999</v>
      </c>
      <c r="E22" s="29">
        <f t="shared" si="3"/>
        <v>1.9690291262135919E-2</v>
      </c>
      <c r="F22" s="111"/>
      <c r="G22" s="10" t="s">
        <v>36</v>
      </c>
      <c r="H22" s="32">
        <f>1.063*1240.6038111131</f>
        <v>1318.7618512132251</v>
      </c>
      <c r="I22" s="20">
        <f t="shared" si="0"/>
        <v>1355.9025289401277</v>
      </c>
      <c r="J22" s="21">
        <f t="shared" si="1"/>
        <v>8.5830739801494409E-3</v>
      </c>
      <c r="K22" s="31">
        <f t="shared" si="2"/>
        <v>8.5830739801494409E-3</v>
      </c>
    </row>
    <row r="23" spans="1:12" ht="51">
      <c r="A23" s="13" t="s">
        <v>38</v>
      </c>
      <c r="B23" s="28" t="s">
        <v>39</v>
      </c>
      <c r="C23" s="10" t="s">
        <v>29</v>
      </c>
      <c r="D23" s="29">
        <v>339.43</v>
      </c>
      <c r="E23" s="29">
        <f t="shared" si="3"/>
        <v>5.4923948220064727E-3</v>
      </c>
      <c r="F23" s="111"/>
      <c r="G23" s="10" t="s">
        <v>29</v>
      </c>
      <c r="H23" s="32">
        <f>1.063*346.053080556614</f>
        <v>367.85442463168067</v>
      </c>
      <c r="I23" s="20">
        <f t="shared" si="0"/>
        <v>378.21441694044472</v>
      </c>
      <c r="J23" s="21">
        <f t="shared" si="1"/>
        <v>2.3941561075901396E-3</v>
      </c>
      <c r="K23" s="31">
        <f t="shared" si="2"/>
        <v>2.3941561075901396E-3</v>
      </c>
    </row>
    <row r="24" spans="1:12" ht="25.5">
      <c r="A24" s="13" t="s">
        <v>40</v>
      </c>
      <c r="B24" s="28" t="s">
        <v>41</v>
      </c>
      <c r="C24" s="10" t="s">
        <v>37</v>
      </c>
      <c r="D24" s="29">
        <v>56.19</v>
      </c>
      <c r="E24" s="29">
        <f t="shared" si="3"/>
        <v>9.0922330097087378E-4</v>
      </c>
      <c r="F24" s="111"/>
      <c r="G24" s="10" t="s">
        <v>37</v>
      </c>
      <c r="H24" s="32">
        <f>1.063*57.2863995418087</f>
        <v>60.895442712942646</v>
      </c>
      <c r="I24" s="20">
        <f t="shared" si="0"/>
        <v>62.610458969105778</v>
      </c>
      <c r="J24" s="21">
        <f t="shared" si="1"/>
        <v>3.963339471628608E-4</v>
      </c>
      <c r="K24" s="31">
        <f t="shared" si="2"/>
        <v>3.963339471628608E-4</v>
      </c>
    </row>
    <row r="25" spans="1:12">
      <c r="A25" s="13" t="s">
        <v>42</v>
      </c>
      <c r="B25" s="28" t="s">
        <v>43</v>
      </c>
      <c r="C25" s="10" t="s">
        <v>37</v>
      </c>
      <c r="D25" s="29">
        <v>964.45</v>
      </c>
      <c r="E25" s="29">
        <f t="shared" si="3"/>
        <v>1.5605987055016183E-2</v>
      </c>
      <c r="F25" s="111"/>
      <c r="G25" s="10" t="s">
        <v>37</v>
      </c>
      <c r="H25" s="32">
        <f>1.063*983.26869617543</f>
        <v>1045.2146240344821</v>
      </c>
      <c r="I25" s="20">
        <f t="shared" si="0"/>
        <v>1074.6513107804608</v>
      </c>
      <c r="J25" s="21">
        <f t="shared" si="1"/>
        <v>6.8027100078523091E-3</v>
      </c>
      <c r="K25" s="31">
        <f t="shared" si="2"/>
        <v>6.8027100078523091E-3</v>
      </c>
      <c r="L25" s="33"/>
    </row>
    <row r="26" spans="1:12">
      <c r="A26" s="13" t="s">
        <v>44</v>
      </c>
      <c r="B26" s="28" t="s">
        <v>45</v>
      </c>
      <c r="C26" s="10" t="s">
        <v>46</v>
      </c>
      <c r="D26" s="29">
        <v>412.52</v>
      </c>
      <c r="E26" s="29">
        <f t="shared" si="3"/>
        <v>6.6750809061488668E-3</v>
      </c>
      <c r="F26" s="111"/>
      <c r="G26" s="10" t="s">
        <v>46</v>
      </c>
      <c r="H26" s="32">
        <f>1.063*420.569238992471</f>
        <v>447.06510104899667</v>
      </c>
      <c r="I26" s="20">
        <f t="shared" si="0"/>
        <v>459.65592692535216</v>
      </c>
      <c r="J26" s="21">
        <f t="shared" si="1"/>
        <v>2.9096935377046357E-3</v>
      </c>
      <c r="K26" s="31">
        <f t="shared" si="2"/>
        <v>2.9096935377046361E-3</v>
      </c>
    </row>
    <row r="27" spans="1:12" ht="38.25">
      <c r="A27" s="13" t="s">
        <v>127</v>
      </c>
      <c r="B27" s="16" t="s">
        <v>47</v>
      </c>
      <c r="C27" s="34"/>
      <c r="D27" s="35">
        <f>D28+D37</f>
        <v>227987.58000000002</v>
      </c>
      <c r="E27" s="18">
        <f t="shared" si="3"/>
        <v>3.689119417475728</v>
      </c>
      <c r="F27" s="111"/>
      <c r="G27" s="34"/>
      <c r="H27" s="23">
        <f>1.063*287823.56</f>
        <v>305956.44428</v>
      </c>
      <c r="I27" s="23">
        <f>H27</f>
        <v>305956.44428</v>
      </c>
      <c r="J27" s="21">
        <f t="shared" si="1"/>
        <v>1.9367518976540443</v>
      </c>
      <c r="K27" s="21">
        <f t="shared" si="2"/>
        <v>1.9912972107456843</v>
      </c>
    </row>
    <row r="28" spans="1:12">
      <c r="A28" s="13" t="s">
        <v>48</v>
      </c>
      <c r="B28" s="36" t="s">
        <v>49</v>
      </c>
      <c r="C28" s="37"/>
      <c r="D28" s="18">
        <f>D29+D30+D31+D32+D33+D34+D35+D36</f>
        <v>124909.21</v>
      </c>
      <c r="E28" s="18">
        <f>E29+E30+E31+E32+E33+E34+E35+E36</f>
        <v>4.0423692556634299</v>
      </c>
      <c r="F28" s="111"/>
      <c r="G28" s="37"/>
      <c r="H28" s="32">
        <f>1.063*142112.982602682</f>
        <v>151066.10050665095</v>
      </c>
      <c r="I28" s="23">
        <f t="shared" ref="I28:I46" si="4">H28</f>
        <v>151066.10050665095</v>
      </c>
      <c r="J28" s="21">
        <f t="shared" si="1"/>
        <v>0.95627192137092787</v>
      </c>
      <c r="K28" s="31">
        <f t="shared" si="2"/>
        <v>0.98320368863296181</v>
      </c>
    </row>
    <row r="29" spans="1:12" ht="25.5">
      <c r="A29" s="13" t="s">
        <v>50</v>
      </c>
      <c r="B29" s="28" t="s">
        <v>51</v>
      </c>
      <c r="C29" s="38" t="s">
        <v>52</v>
      </c>
      <c r="D29" s="22">
        <v>51311.38</v>
      </c>
      <c r="E29" s="29">
        <f>D29/6/5150</f>
        <v>1.6605624595469253</v>
      </c>
      <c r="F29" s="111"/>
      <c r="G29" s="39" t="s">
        <v>52</v>
      </c>
      <c r="H29" s="32">
        <f>1.063*58378.5075036469</f>
        <v>62056.353476376651</v>
      </c>
      <c r="I29" s="23">
        <f t="shared" si="4"/>
        <v>62056.353476376651</v>
      </c>
      <c r="J29" s="21">
        <f t="shared" si="1"/>
        <v>0.3928263731777169</v>
      </c>
      <c r="K29" s="31">
        <f t="shared" si="2"/>
        <v>0.40388965781504499</v>
      </c>
    </row>
    <row r="30" spans="1:12" ht="25.5">
      <c r="A30" s="13" t="s">
        <v>53</v>
      </c>
      <c r="B30" s="28" t="s">
        <v>54</v>
      </c>
      <c r="C30" s="38" t="s">
        <v>55</v>
      </c>
      <c r="D30" s="22">
        <v>66572.58</v>
      </c>
      <c r="E30" s="29">
        <f t="shared" ref="E30:E36" si="5">D30/6/5150</f>
        <v>2.1544524271844661</v>
      </c>
      <c r="F30" s="111"/>
      <c r="G30" s="39" t="s">
        <v>55</v>
      </c>
      <c r="H30" s="32">
        <f>1.063*75741.6358918263</f>
        <v>80513.358953011353</v>
      </c>
      <c r="I30" s="23">
        <f t="shared" si="4"/>
        <v>80513.358953011353</v>
      </c>
      <c r="J30" s="21">
        <f t="shared" si="1"/>
        <v>0.50966208966672588</v>
      </c>
      <c r="K30" s="31">
        <f t="shared" si="2"/>
        <v>0.5240158529368093</v>
      </c>
    </row>
    <row r="31" spans="1:12" ht="25.5">
      <c r="A31" s="13" t="s">
        <v>56</v>
      </c>
      <c r="B31" s="28" t="s">
        <v>57</v>
      </c>
      <c r="C31" s="38" t="s">
        <v>58</v>
      </c>
      <c r="D31" s="22">
        <v>5328.49</v>
      </c>
      <c r="E31" s="29">
        <f t="shared" si="5"/>
        <v>0.1724430420711974</v>
      </c>
      <c r="F31" s="111"/>
      <c r="G31" s="39" t="s">
        <v>58</v>
      </c>
      <c r="H31" s="32">
        <f>1.063*6062.38408415653</f>
        <v>6444.3142814583907</v>
      </c>
      <c r="I31" s="23">
        <f t="shared" si="4"/>
        <v>6444.3142814583907</v>
      </c>
      <c r="J31" s="21">
        <f t="shared" si="1"/>
        <v>4.0793512106159183E-2</v>
      </c>
      <c r="K31" s="31">
        <f t="shared" si="2"/>
        <v>4.194239178074903E-2</v>
      </c>
    </row>
    <row r="32" spans="1:12" ht="38.25">
      <c r="A32" s="13" t="s">
        <v>59</v>
      </c>
      <c r="B32" s="28" t="s">
        <v>60</v>
      </c>
      <c r="C32" s="38" t="s">
        <v>46</v>
      </c>
      <c r="D32" s="22">
        <v>317.92</v>
      </c>
      <c r="E32" s="29">
        <f t="shared" si="5"/>
        <v>1.0288673139158577E-2</v>
      </c>
      <c r="F32" s="111"/>
      <c r="G32" s="39" t="s">
        <v>46</v>
      </c>
      <c r="H32" s="32">
        <f>1.063*361.707190599033</f>
        <v>384.49474360677209</v>
      </c>
      <c r="I32" s="23">
        <f t="shared" si="4"/>
        <v>384.49474360677209</v>
      </c>
      <c r="J32" s="21">
        <f t="shared" si="1"/>
        <v>2.4339115525768298E-3</v>
      </c>
      <c r="K32" s="31">
        <f t="shared" si="2"/>
        <v>2.5024585191931892E-3</v>
      </c>
    </row>
    <row r="33" spans="1:12" ht="38.25">
      <c r="A33" s="13" t="s">
        <v>61</v>
      </c>
      <c r="B33" s="28" t="s">
        <v>62</v>
      </c>
      <c r="C33" s="38" t="s">
        <v>63</v>
      </c>
      <c r="D33" s="22">
        <v>268.66000000000003</v>
      </c>
      <c r="E33" s="29">
        <f t="shared" si="5"/>
        <v>8.6944983818770232E-3</v>
      </c>
      <c r="F33" s="111"/>
      <c r="G33" s="39" t="s">
        <v>63</v>
      </c>
      <c r="H33" s="32">
        <f>1.063*305.662600108003</f>
        <v>324.9193439148072</v>
      </c>
      <c r="I33" s="23">
        <f t="shared" si="4"/>
        <v>324.9193439148072</v>
      </c>
      <c r="J33" s="21">
        <f t="shared" si="1"/>
        <v>2.0567900028790002E-3</v>
      </c>
      <c r="K33" s="31">
        <f t="shared" si="2"/>
        <v>2.1147159844188568E-3</v>
      </c>
    </row>
    <row r="34" spans="1:12" ht="25.5">
      <c r="A34" s="13" t="s">
        <v>64</v>
      </c>
      <c r="B34" s="28" t="s">
        <v>65</v>
      </c>
      <c r="C34" s="38" t="s">
        <v>33</v>
      </c>
      <c r="D34" s="22">
        <v>805.99</v>
      </c>
      <c r="E34" s="29">
        <f t="shared" si="5"/>
        <v>2.608381877022654E-2</v>
      </c>
      <c r="F34" s="111"/>
      <c r="G34" s="39" t="s">
        <v>33</v>
      </c>
      <c r="H34" s="32">
        <f>1.063*916.999177626179</f>
        <v>974.77012581662814</v>
      </c>
      <c r="I34" s="23">
        <f t="shared" si="4"/>
        <v>974.77012581662814</v>
      </c>
      <c r="J34" s="21">
        <f t="shared" si="1"/>
        <v>6.1704465659958487E-3</v>
      </c>
      <c r="K34" s="31">
        <f t="shared" si="2"/>
        <v>6.3442266667228225E-3</v>
      </c>
    </row>
    <row r="35" spans="1:12" ht="38.25">
      <c r="A35" s="13" t="s">
        <v>66</v>
      </c>
      <c r="B35" s="28" t="s">
        <v>67</v>
      </c>
      <c r="C35" s="38" t="s">
        <v>68</v>
      </c>
      <c r="D35" s="22">
        <v>296.25</v>
      </c>
      <c r="E35" s="29">
        <f t="shared" si="5"/>
        <v>9.5873786407766996E-3</v>
      </c>
      <c r="F35" s="111"/>
      <c r="G35" s="39" t="s">
        <v>68</v>
      </c>
      <c r="H35" s="32">
        <f>1.063*337.052576795935</f>
        <v>358.28688913407888</v>
      </c>
      <c r="I35" s="23">
        <f t="shared" si="4"/>
        <v>358.28688913407888</v>
      </c>
      <c r="J35" s="21">
        <f t="shared" si="1"/>
        <v>2.2680117559476807E-3</v>
      </c>
      <c r="K35" s="31">
        <f t="shared" si="2"/>
        <v>2.3318864378176368E-3</v>
      </c>
    </row>
    <row r="36" spans="1:12">
      <c r="A36" s="13" t="s">
        <v>69</v>
      </c>
      <c r="B36" s="28" t="s">
        <v>70</v>
      </c>
      <c r="C36" s="38" t="s">
        <v>71</v>
      </c>
      <c r="D36" s="22">
        <v>7.94</v>
      </c>
      <c r="E36" s="29">
        <f t="shared" si="5"/>
        <v>2.5695792880258903E-4</v>
      </c>
      <c r="F36" s="111"/>
      <c r="G36" s="39" t="s">
        <v>71</v>
      </c>
      <c r="H36" s="32">
        <f>1.063*9.03357792323957</f>
        <v>9.6026933324036623</v>
      </c>
      <c r="I36" s="23">
        <f t="shared" si="4"/>
        <v>9.6026933324036623</v>
      </c>
      <c r="J36" s="21">
        <f t="shared" si="1"/>
        <v>6.078654292734033E-5</v>
      </c>
      <c r="K36" s="31">
        <f t="shared" si="2"/>
        <v>6.2498492206825411E-5</v>
      </c>
    </row>
    <row r="37" spans="1:12">
      <c r="A37" s="13" t="s">
        <v>72</v>
      </c>
      <c r="B37" s="36" t="s">
        <v>73</v>
      </c>
      <c r="C37" s="40"/>
      <c r="D37" s="18">
        <f>D38+D39+D40+D41+D42+D43+D44</f>
        <v>103078.37</v>
      </c>
      <c r="E37" s="18">
        <v>3.33</v>
      </c>
      <c r="F37" s="111"/>
      <c r="G37" s="40"/>
      <c r="H37" s="32">
        <f>1.063*145710.577397318</f>
        <v>154890.34377334904</v>
      </c>
      <c r="I37" s="23">
        <f t="shared" si="4"/>
        <v>154890.34377334904</v>
      </c>
      <c r="J37" s="21">
        <f t="shared" si="1"/>
        <v>0.98047997628311645</v>
      </c>
      <c r="K37" s="31">
        <f t="shared" si="2"/>
        <v>1.0080935221127225</v>
      </c>
      <c r="L37" s="33"/>
    </row>
    <row r="38" spans="1:12" ht="38.25">
      <c r="A38" s="13" t="s">
        <v>74</v>
      </c>
      <c r="B38" s="28" t="s">
        <v>75</v>
      </c>
      <c r="C38" s="38" t="s">
        <v>76</v>
      </c>
      <c r="D38" s="22">
        <v>51876.7</v>
      </c>
      <c r="E38" s="29">
        <f>D38/6/5150</f>
        <v>1.6788576051779935</v>
      </c>
      <c r="F38" s="111"/>
      <c r="G38" s="39" t="s">
        <v>76</v>
      </c>
      <c r="H38" s="32">
        <f>1.063*65491.8854573218</f>
        <v>69617.87424113306</v>
      </c>
      <c r="I38" s="23">
        <f t="shared" si="4"/>
        <v>69617.87424113306</v>
      </c>
      <c r="J38" s="21">
        <f t="shared" si="1"/>
        <v>0.44069197615514621</v>
      </c>
      <c r="K38" s="31">
        <f t="shared" si="2"/>
        <v>0.45310331384144065</v>
      </c>
      <c r="L38" s="8"/>
    </row>
    <row r="39" spans="1:12" ht="25.5">
      <c r="A39" s="13" t="s">
        <v>77</v>
      </c>
      <c r="B39" s="28" t="s">
        <v>78</v>
      </c>
      <c r="C39" s="38" t="s">
        <v>79</v>
      </c>
      <c r="D39" s="22">
        <v>4042.52</v>
      </c>
      <c r="E39" s="29">
        <f t="shared" ref="E39:E44" si="6">D39/6/5150</f>
        <v>0.13082588996763753</v>
      </c>
      <c r="F39" s="111"/>
      <c r="G39" s="39" t="s">
        <v>79</v>
      </c>
      <c r="H39" s="32">
        <f>1.063*5103.49071546441</f>
        <v>5425.0106305386671</v>
      </c>
      <c r="I39" s="23">
        <f t="shared" si="4"/>
        <v>5425.0106305386671</v>
      </c>
      <c r="J39" s="21">
        <f t="shared" si="1"/>
        <v>3.4341161397056903E-2</v>
      </c>
      <c r="K39" s="31">
        <f t="shared" si="2"/>
        <v>3.530832162165868E-2</v>
      </c>
    </row>
    <row r="40" spans="1:12">
      <c r="A40" s="13" t="s">
        <v>80</v>
      </c>
      <c r="B40" s="28" t="s">
        <v>81</v>
      </c>
      <c r="C40" s="38" t="s">
        <v>82</v>
      </c>
      <c r="D40" s="22">
        <v>46418.86</v>
      </c>
      <c r="E40" s="29">
        <f t="shared" si="6"/>
        <v>1.5022284789644011</v>
      </c>
      <c r="F40" s="111"/>
      <c r="G40" s="39" t="s">
        <v>82</v>
      </c>
      <c r="H40" s="32">
        <f>1.063*58601.6200371161</f>
        <v>62293.522099454414</v>
      </c>
      <c r="I40" s="23">
        <f t="shared" si="4"/>
        <v>62293.522099454414</v>
      </c>
      <c r="J40" s="21">
        <f t="shared" si="1"/>
        <v>0.39432768746410435</v>
      </c>
      <c r="K40" s="31">
        <f t="shared" si="2"/>
        <v>0.40543325405706088</v>
      </c>
    </row>
    <row r="41" spans="1:12" ht="39.75" customHeight="1">
      <c r="A41" s="13" t="s">
        <v>83</v>
      </c>
      <c r="B41" s="28" t="s">
        <v>84</v>
      </c>
      <c r="C41" s="38" t="s">
        <v>32</v>
      </c>
      <c r="D41" s="22">
        <v>29.46</v>
      </c>
      <c r="E41" s="29">
        <f t="shared" si="6"/>
        <v>9.5339805825242724E-4</v>
      </c>
      <c r="F41" s="111"/>
      <c r="G41" s="39" t="s">
        <v>32</v>
      </c>
      <c r="H41" s="32">
        <f>1.063*37.1918596513021</f>
        <v>39.53494680933413</v>
      </c>
      <c r="I41" s="23">
        <f t="shared" si="4"/>
        <v>39.53494680933413</v>
      </c>
      <c r="J41" s="21">
        <f t="shared" si="1"/>
        <v>2.5026236475201067E-4</v>
      </c>
      <c r="K41" s="31">
        <f t="shared" si="2"/>
        <v>2.5731057730674593E-4</v>
      </c>
    </row>
    <row r="42" spans="1:12" ht="19.5" customHeight="1">
      <c r="A42" s="13" t="s">
        <v>85</v>
      </c>
      <c r="B42" s="28" t="s">
        <v>86</v>
      </c>
      <c r="C42" s="38" t="s">
        <v>33</v>
      </c>
      <c r="D42" s="22">
        <v>351.39</v>
      </c>
      <c r="E42" s="29">
        <f t="shared" si="6"/>
        <v>1.1371844660194174E-2</v>
      </c>
      <c r="F42" s="111"/>
      <c r="G42" s="38" t="s">
        <v>33</v>
      </c>
      <c r="H42" s="32">
        <f>1.063*443.613291339818</f>
        <v>471.5609286942265</v>
      </c>
      <c r="I42" s="23">
        <f t="shared" si="4"/>
        <v>471.5609286942265</v>
      </c>
      <c r="J42" s="21">
        <f t="shared" si="1"/>
        <v>2.9850540512630338E-3</v>
      </c>
      <c r="K42" s="31">
        <f t="shared" si="2"/>
        <v>3.0691230061037815E-3</v>
      </c>
    </row>
    <row r="43" spans="1:12">
      <c r="A43" s="13" t="s">
        <v>87</v>
      </c>
      <c r="B43" s="28" t="s">
        <v>88</v>
      </c>
      <c r="C43" s="38" t="s">
        <v>29</v>
      </c>
      <c r="D43" s="22">
        <v>351.5</v>
      </c>
      <c r="E43" s="29">
        <f t="shared" si="6"/>
        <v>1.1375404530744338E-2</v>
      </c>
      <c r="F43" s="111"/>
      <c r="G43" s="38" t="s">
        <v>29</v>
      </c>
      <c r="H43" s="32">
        <f>1.063*443.752161148427</f>
        <v>471.70854730077787</v>
      </c>
      <c r="I43" s="23">
        <f t="shared" si="4"/>
        <v>471.70854730077787</v>
      </c>
      <c r="J43" s="21">
        <f t="shared" si="1"/>
        <v>2.9859885000112544E-3</v>
      </c>
      <c r="K43" s="31">
        <f t="shared" si="2"/>
        <v>3.070083772006823E-3</v>
      </c>
      <c r="L43" s="33"/>
    </row>
    <row r="44" spans="1:12">
      <c r="A44" s="13" t="s">
        <v>89</v>
      </c>
      <c r="B44" s="28" t="s">
        <v>70</v>
      </c>
      <c r="C44" s="38" t="s">
        <v>71</v>
      </c>
      <c r="D44" s="22">
        <v>7.94</v>
      </c>
      <c r="E44" s="29">
        <f t="shared" si="6"/>
        <v>2.5695792880258903E-4</v>
      </c>
      <c r="F44" s="111"/>
      <c r="G44" s="38" t="s">
        <v>71</v>
      </c>
      <c r="H44" s="32">
        <f>1.063*10.0238752760128</f>
        <v>10.655379418401607</v>
      </c>
      <c r="I44" s="23">
        <f t="shared" si="4"/>
        <v>10.655379418401607</v>
      </c>
      <c r="J44" s="21">
        <f t="shared" si="1"/>
        <v>6.7450209644635229E-5</v>
      </c>
      <c r="K44" s="31">
        <f t="shared" si="2"/>
        <v>6.9349829728973248E-5</v>
      </c>
    </row>
    <row r="45" spans="1:12" s="46" customFormat="1" ht="22.5" customHeight="1">
      <c r="A45" s="24" t="s">
        <v>90</v>
      </c>
      <c r="B45" s="41" t="s">
        <v>91</v>
      </c>
      <c r="C45" s="42"/>
      <c r="D45" s="43"/>
      <c r="E45" s="44"/>
      <c r="F45" s="111"/>
      <c r="G45" s="84" t="s">
        <v>92</v>
      </c>
      <c r="H45" s="32">
        <f>1.063*15579</f>
        <v>16560.476999999999</v>
      </c>
      <c r="I45" s="23">
        <f t="shared" si="4"/>
        <v>16560.476999999999</v>
      </c>
      <c r="J45" s="21">
        <f t="shared" si="1"/>
        <v>0.10483039614113714</v>
      </c>
      <c r="K45" s="31">
        <f t="shared" si="2"/>
        <v>0.10778276540741492</v>
      </c>
      <c r="L45" s="45"/>
    </row>
    <row r="46" spans="1:12" ht="41.25" customHeight="1">
      <c r="A46" s="13" t="s">
        <v>93</v>
      </c>
      <c r="B46" s="48" t="s">
        <v>126</v>
      </c>
      <c r="C46" s="16"/>
      <c r="D46" s="18"/>
      <c r="E46" s="18"/>
      <c r="F46" s="111"/>
      <c r="G46" s="78" t="s">
        <v>122</v>
      </c>
      <c r="H46" s="23">
        <f>1.1*62460.96</f>
        <v>68707.056000000011</v>
      </c>
      <c r="I46" s="23">
        <f t="shared" si="4"/>
        <v>68707.056000000011</v>
      </c>
      <c r="J46" s="21">
        <f t="shared" si="1"/>
        <v>0.4349263549698052</v>
      </c>
      <c r="K46" s="21">
        <f t="shared" si="2"/>
        <v>0.44717531377158526</v>
      </c>
    </row>
    <row r="47" spans="1:12" ht="40.5" customHeight="1">
      <c r="A47" s="13" t="s">
        <v>94</v>
      </c>
      <c r="B47" s="47" t="s">
        <v>96</v>
      </c>
      <c r="C47" s="16" t="s">
        <v>97</v>
      </c>
      <c r="D47" s="18">
        <v>44731.95</v>
      </c>
      <c r="E47" s="18">
        <f t="shared" ref="E47:E51" si="7">D47/12/5150</f>
        <v>0.72381796116504848</v>
      </c>
      <c r="F47" s="111"/>
      <c r="G47" s="16" t="s">
        <v>97</v>
      </c>
      <c r="H47" s="23">
        <f>1.1*127800.03</f>
        <v>140580.033</v>
      </c>
      <c r="I47" s="23">
        <f>H47*$G$9/$G$6</f>
        <v>144539.22979939706</v>
      </c>
      <c r="J47" s="21">
        <f t="shared" si="1"/>
        <v>0.91495581424409755</v>
      </c>
      <c r="K47" s="21">
        <f t="shared" si="2"/>
        <v>0.91495581424409755</v>
      </c>
    </row>
    <row r="48" spans="1:12" ht="25.5">
      <c r="A48" s="13" t="s">
        <v>95</v>
      </c>
      <c r="B48" s="47" t="s">
        <v>99</v>
      </c>
      <c r="C48" s="16" t="s">
        <v>100</v>
      </c>
      <c r="D48" s="18">
        <v>85206.3</v>
      </c>
      <c r="E48" s="18">
        <f t="shared" si="7"/>
        <v>1.3787427184466021</v>
      </c>
      <c r="F48" s="111"/>
      <c r="G48" s="16" t="s">
        <v>100</v>
      </c>
      <c r="H48" s="23">
        <f>1.1*133188.82</f>
        <v>146507.70200000002</v>
      </c>
      <c r="I48" s="23">
        <f>H48*$G$9/$G$6</f>
        <v>150633.84148415719</v>
      </c>
      <c r="J48" s="21">
        <f t="shared" si="1"/>
        <v>0.95353565450110267</v>
      </c>
      <c r="K48" s="21">
        <f t="shared" si="2"/>
        <v>0.95353565450110278</v>
      </c>
    </row>
    <row r="49" spans="1:13" ht="26.25" customHeight="1">
      <c r="A49" s="13" t="s">
        <v>98</v>
      </c>
      <c r="B49" s="47" t="s">
        <v>102</v>
      </c>
      <c r="C49" s="16" t="s">
        <v>103</v>
      </c>
      <c r="D49" s="19">
        <v>2520</v>
      </c>
      <c r="E49" s="18">
        <f t="shared" si="7"/>
        <v>4.0776699029126215E-2</v>
      </c>
      <c r="F49" s="111"/>
      <c r="G49" s="16" t="s">
        <v>103</v>
      </c>
      <c r="H49" s="23">
        <f>1.1*10184.46</f>
        <v>11202.905999999999</v>
      </c>
      <c r="I49" s="23">
        <f>6410.89*1.1</f>
        <v>7051.9790000000012</v>
      </c>
      <c r="J49" s="21">
        <f t="shared" si="1"/>
        <v>4.4640124324255896E-2</v>
      </c>
      <c r="K49" s="21">
        <f t="shared" si="2"/>
        <v>7.2913370145033934E-2</v>
      </c>
      <c r="M49" t="s">
        <v>134</v>
      </c>
    </row>
    <row r="50" spans="1:13" ht="25.5" customHeight="1">
      <c r="A50" s="13" t="s">
        <v>101</v>
      </c>
      <c r="B50" s="47" t="s">
        <v>105</v>
      </c>
      <c r="C50" s="16" t="s">
        <v>106</v>
      </c>
      <c r="D50" s="19">
        <v>99423.2</v>
      </c>
      <c r="E50" s="18">
        <f t="shared" si="7"/>
        <v>1.608789644012945</v>
      </c>
      <c r="F50" s="111"/>
      <c r="G50" s="16" t="s">
        <v>106</v>
      </c>
      <c r="H50" s="23">
        <f>1.1*186309.03</f>
        <v>204939.93300000002</v>
      </c>
      <c r="I50" s="23">
        <v>259085.10255098934</v>
      </c>
      <c r="J50" s="21">
        <f t="shared" si="1"/>
        <v>1.6400490115524666</v>
      </c>
      <c r="K50" s="21">
        <f t="shared" si="2"/>
        <v>1.333837951717836</v>
      </c>
      <c r="M50" t="s">
        <v>132</v>
      </c>
    </row>
    <row r="51" spans="1:13" ht="51">
      <c r="A51" s="13" t="s">
        <v>104</v>
      </c>
      <c r="B51" s="47" t="s">
        <v>108</v>
      </c>
      <c r="C51" s="16" t="s">
        <v>106</v>
      </c>
      <c r="D51" s="19">
        <v>27000</v>
      </c>
      <c r="E51" s="18">
        <f t="shared" si="7"/>
        <v>0.43689320388349512</v>
      </c>
      <c r="F51" s="111"/>
      <c r="G51" s="78" t="s">
        <v>106</v>
      </c>
      <c r="H51" s="23">
        <f>1.063*65784</f>
        <v>69928.391999999993</v>
      </c>
      <c r="I51" s="23">
        <f>1.063*65784</f>
        <v>69928.391999999993</v>
      </c>
      <c r="J51" s="21">
        <f t="shared" si="1"/>
        <v>0.44265760188385422</v>
      </c>
      <c r="K51" s="21">
        <f t="shared" si="2"/>
        <v>0.45512429806543314</v>
      </c>
    </row>
    <row r="52" spans="1:13" ht="38.25">
      <c r="A52" s="49"/>
      <c r="B52" s="50" t="s">
        <v>109</v>
      </c>
      <c r="C52" s="34"/>
      <c r="D52" s="34" t="e">
        <f>D49+D47+#REF!+D27+D18+D17+D16+D15+#REF!+#REF!+D51+D50+D48</f>
        <v>#REF!</v>
      </c>
      <c r="E52" s="34" t="e">
        <f>E49+E47+#REF!+E27+E18+E17+E16+E15+#REF!+#REF!+E51+E50+E48</f>
        <v>#REF!</v>
      </c>
      <c r="F52" s="111"/>
      <c r="G52" s="34"/>
      <c r="H52" s="51">
        <f>H15+H16+H17+H18+H27+H46+H47+H48+H49+H50+H51</f>
        <v>2102829.26198</v>
      </c>
      <c r="I52" s="51">
        <f>I15+I16+I17+I18+I27+I46+I47+I48+I49+I50+I51</f>
        <v>2193437.636769637</v>
      </c>
      <c r="J52" s="21">
        <f t="shared" si="1"/>
        <v>13.884801529173389</v>
      </c>
      <c r="K52" s="51">
        <f t="shared" si="2"/>
        <v>13.686124683234537</v>
      </c>
      <c r="L52" s="33"/>
    </row>
    <row r="53" spans="1:13" ht="185.25" customHeight="1">
      <c r="A53" s="24" t="s">
        <v>107</v>
      </c>
      <c r="B53" s="25" t="s">
        <v>110</v>
      </c>
      <c r="C53" s="12" t="s">
        <v>111</v>
      </c>
      <c r="D53" s="52">
        <v>105659.54</v>
      </c>
      <c r="E53" s="52">
        <f>D53/12/5150</f>
        <v>1.7097012944983818</v>
      </c>
      <c r="F53" s="52">
        <f>E53</f>
        <v>1.7097012944983818</v>
      </c>
      <c r="G53" s="82" t="s">
        <v>112</v>
      </c>
      <c r="H53" s="51">
        <f>(H52)*20%*1.18</f>
        <v>496267.70582727995</v>
      </c>
      <c r="I53" s="51">
        <f>(I52)*20%*1.18</f>
        <v>517651.28227763437</v>
      </c>
      <c r="J53" s="21">
        <f t="shared" si="1"/>
        <v>3.2768131608849203</v>
      </c>
      <c r="K53" s="51">
        <f t="shared" si="2"/>
        <v>3.22992542524335</v>
      </c>
    </row>
    <row r="54" spans="1:13" ht="51">
      <c r="A54" s="53"/>
      <c r="B54" s="50" t="s">
        <v>113</v>
      </c>
      <c r="C54" s="54"/>
      <c r="D54" s="54" t="e">
        <f>D52+D53</f>
        <v>#REF!</v>
      </c>
      <c r="E54" s="54" t="e">
        <f>E52+E53</f>
        <v>#REF!</v>
      </c>
      <c r="F54" s="54" t="e">
        <f>E54</f>
        <v>#REF!</v>
      </c>
      <c r="G54" s="54"/>
      <c r="H54" s="23">
        <f>H52+H53</f>
        <v>2599096.9678072799</v>
      </c>
      <c r="I54" s="23">
        <f>I52+I53</f>
        <v>2711088.9190472714</v>
      </c>
      <c r="J54" s="21">
        <f>I54/12/$G$9</f>
        <v>17.161614690058308</v>
      </c>
      <c r="K54" s="51">
        <f>H54/12/$G$6</f>
        <v>16.916050108477886</v>
      </c>
      <c r="L54" s="33"/>
    </row>
    <row r="55" spans="1:13">
      <c r="A55" s="53"/>
      <c r="B55" s="112" t="s">
        <v>129</v>
      </c>
      <c r="C55" s="113"/>
      <c r="D55" s="113"/>
      <c r="E55" s="113"/>
      <c r="F55" s="113"/>
      <c r="G55" s="114"/>
      <c r="H55" s="23"/>
      <c r="I55" s="23"/>
      <c r="J55" s="51"/>
      <c r="K55" s="51"/>
      <c r="L55" s="33"/>
    </row>
    <row r="56" spans="1:13" ht="38.25">
      <c r="A56" s="55" t="s">
        <v>13</v>
      </c>
      <c r="B56" s="50" t="s">
        <v>133</v>
      </c>
      <c r="C56" s="54"/>
      <c r="D56" s="54"/>
      <c r="E56" s="54"/>
      <c r="F56" s="54"/>
      <c r="G56" s="56"/>
      <c r="H56" s="23">
        <f>K56*12*G6</f>
        <v>153646.79999999999</v>
      </c>
      <c r="I56" s="23">
        <f>J56*12*G9</f>
        <v>157974</v>
      </c>
      <c r="J56" s="21">
        <v>1</v>
      </c>
      <c r="K56" s="21">
        <v>1</v>
      </c>
    </row>
    <row r="57" spans="1:13" ht="33.75">
      <c r="A57" s="13" t="s">
        <v>19</v>
      </c>
      <c r="B57" s="57" t="s">
        <v>123</v>
      </c>
      <c r="C57" s="58">
        <f>D57/12</f>
        <v>2247.5</v>
      </c>
      <c r="D57" s="58">
        <f>310*87</f>
        <v>26970</v>
      </c>
      <c r="E57" s="58" t="e">
        <f t="shared" ref="E57" si="8">C57/$C$3</f>
        <v>#DIV/0!</v>
      </c>
      <c r="F57" s="59"/>
      <c r="G57" s="82" t="s">
        <v>124</v>
      </c>
      <c r="H57" s="60">
        <f>258*87</f>
        <v>22446</v>
      </c>
      <c r="I57" s="60">
        <f>258*87</f>
        <v>22446</v>
      </c>
      <c r="J57" s="60">
        <f>I57/12/$G$9</f>
        <v>0.14208667249040982</v>
      </c>
      <c r="K57" s="60">
        <f>H57/12/$G$6</f>
        <v>0.14608830122072181</v>
      </c>
    </row>
    <row r="58" spans="1:13">
      <c r="A58" s="61"/>
      <c r="B58" s="62"/>
      <c r="C58" s="63"/>
      <c r="D58" s="63"/>
      <c r="E58" s="63"/>
      <c r="F58" s="64"/>
      <c r="G58" s="63"/>
      <c r="H58" s="65"/>
      <c r="I58" s="65"/>
      <c r="J58" s="65"/>
      <c r="K58" s="65"/>
    </row>
    <row r="59" spans="1:13">
      <c r="A59" s="61"/>
      <c r="B59" s="62"/>
      <c r="C59" s="63"/>
      <c r="D59" s="63"/>
      <c r="E59" s="63"/>
      <c r="F59" s="64"/>
      <c r="G59" s="63"/>
      <c r="H59" s="65"/>
      <c r="I59" s="65"/>
      <c r="J59" s="65"/>
      <c r="K59" s="65"/>
    </row>
    <row r="60" spans="1:13">
      <c r="A60" s="1"/>
      <c r="B60" s="66"/>
      <c r="C60" s="66"/>
      <c r="D60" s="67"/>
      <c r="E60" s="66"/>
      <c r="F60" s="66"/>
      <c r="G60" s="66"/>
      <c r="H60" s="68"/>
      <c r="I60" s="68"/>
      <c r="J60" s="69"/>
      <c r="K60" s="69"/>
    </row>
    <row r="61" spans="1:13">
      <c r="A61" s="1"/>
      <c r="B61" s="70" t="s">
        <v>114</v>
      </c>
      <c r="C61" s="66"/>
      <c r="D61" s="67"/>
      <c r="E61" s="66"/>
      <c r="F61" s="66"/>
      <c r="G61" s="66"/>
      <c r="H61" s="68" t="s">
        <v>115</v>
      </c>
      <c r="I61" s="68" t="s">
        <v>115</v>
      </c>
      <c r="J61" s="69"/>
      <c r="K61" s="69"/>
    </row>
    <row r="62" spans="1:13">
      <c r="A62" s="1"/>
      <c r="B62" s="70"/>
      <c r="C62" s="66"/>
      <c r="D62" s="67"/>
      <c r="E62" s="66"/>
      <c r="F62" s="66"/>
      <c r="G62" s="66"/>
      <c r="H62" s="68"/>
      <c r="I62" s="68"/>
      <c r="J62" s="69"/>
      <c r="K62" s="69"/>
    </row>
    <row r="63" spans="1:13">
      <c r="A63" s="1"/>
      <c r="B63" s="66"/>
      <c r="C63" s="66"/>
      <c r="D63" s="67"/>
      <c r="E63" s="66"/>
      <c r="F63" s="66"/>
      <c r="G63" s="66"/>
      <c r="H63" s="68"/>
      <c r="I63" s="68"/>
      <c r="J63" s="69"/>
      <c r="K63" s="69"/>
    </row>
    <row r="64" spans="1:13">
      <c r="A64" s="1"/>
      <c r="B64" s="70" t="s">
        <v>116</v>
      </c>
      <c r="C64" s="66"/>
      <c r="D64" s="67"/>
      <c r="E64" s="66"/>
      <c r="F64" s="66"/>
      <c r="G64" s="66"/>
      <c r="H64" s="68" t="s">
        <v>128</v>
      </c>
      <c r="I64" s="68" t="s">
        <v>128</v>
      </c>
      <c r="J64" s="69"/>
      <c r="K64" s="69"/>
    </row>
    <row r="65" spans="1:11">
      <c r="A65" s="1"/>
      <c r="B65" s="70"/>
      <c r="C65" s="66"/>
      <c r="D65" s="67"/>
      <c r="E65" s="66"/>
      <c r="F65" s="66"/>
      <c r="G65" s="66"/>
      <c r="H65" s="68"/>
      <c r="I65" s="68"/>
      <c r="J65" s="69"/>
      <c r="K65" s="69"/>
    </row>
    <row r="66" spans="1:11">
      <c r="A66" s="1"/>
      <c r="B66" s="66"/>
      <c r="C66" s="66"/>
      <c r="D66" s="67"/>
      <c r="E66" s="66"/>
      <c r="F66" s="66"/>
      <c r="G66" s="66"/>
      <c r="H66" s="68"/>
      <c r="I66" s="68"/>
      <c r="J66" s="69"/>
      <c r="K66" s="69"/>
    </row>
    <row r="67" spans="1:11" ht="44.25" customHeight="1">
      <c r="A67" s="1"/>
      <c r="B67" s="115" t="s">
        <v>117</v>
      </c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11" ht="42.75" customHeight="1">
      <c r="A68" s="1"/>
      <c r="B68" s="117" t="s">
        <v>118</v>
      </c>
      <c r="C68" s="118"/>
      <c r="D68" s="118"/>
      <c r="E68" s="118"/>
      <c r="F68" s="118"/>
      <c r="G68" s="118"/>
      <c r="H68" s="118"/>
      <c r="I68" s="118"/>
      <c r="J68" s="118"/>
      <c r="K68" s="118"/>
    </row>
    <row r="69" spans="1:11">
      <c r="B69" s="72"/>
      <c r="C69" s="72"/>
      <c r="D69" s="73"/>
      <c r="E69" s="72"/>
      <c r="F69" s="72"/>
      <c r="G69" s="72"/>
    </row>
    <row r="70" spans="1:11">
      <c r="B70" s="72"/>
      <c r="C70" s="72"/>
      <c r="D70" s="73"/>
      <c r="E70" s="72"/>
      <c r="F70" s="72"/>
      <c r="G70" s="72"/>
    </row>
    <row r="71" spans="1:11">
      <c r="B71" s="72"/>
      <c r="C71" s="72"/>
      <c r="D71" s="73"/>
      <c r="E71" s="72"/>
      <c r="F71" s="72"/>
      <c r="G71" s="72"/>
    </row>
    <row r="72" spans="1:11">
      <c r="B72" s="72"/>
      <c r="C72" s="72"/>
      <c r="D72" s="73"/>
      <c r="E72" s="72"/>
      <c r="F72" s="72"/>
      <c r="G72" s="72"/>
    </row>
    <row r="73" spans="1:11">
      <c r="B73" s="72"/>
      <c r="C73" s="72"/>
      <c r="D73" s="73"/>
      <c r="E73" s="72"/>
      <c r="F73" s="72"/>
      <c r="G73" s="72"/>
    </row>
    <row r="74" spans="1:11">
      <c r="B74" s="72"/>
      <c r="C74" s="72"/>
      <c r="D74" s="73"/>
      <c r="E74" s="72"/>
      <c r="F74" s="72"/>
      <c r="G74" s="72"/>
    </row>
    <row r="75" spans="1:11">
      <c r="B75" s="72"/>
      <c r="C75" s="72"/>
      <c r="D75" s="73"/>
      <c r="E75" s="72"/>
      <c r="F75" s="72"/>
      <c r="G75" s="72"/>
    </row>
    <row r="76" spans="1:11">
      <c r="B76" s="72"/>
      <c r="C76" s="72"/>
      <c r="D76" s="73"/>
      <c r="E76" s="72"/>
      <c r="F76" s="72"/>
      <c r="G76" s="72"/>
    </row>
    <row r="77" spans="1:11">
      <c r="B77" s="72"/>
      <c r="C77" s="72"/>
      <c r="D77" s="73"/>
      <c r="E77" s="72"/>
      <c r="F77" s="72"/>
      <c r="G77" s="72"/>
    </row>
    <row r="78" spans="1:11">
      <c r="B78" s="72"/>
      <c r="C78" s="72"/>
      <c r="D78" s="73"/>
      <c r="E78" s="72"/>
      <c r="F78" s="72"/>
      <c r="G78" s="72"/>
    </row>
    <row r="79" spans="1:11">
      <c r="B79" s="72"/>
      <c r="C79" s="72"/>
      <c r="D79" s="73"/>
      <c r="E79" s="72"/>
      <c r="F79" s="72"/>
      <c r="G79" s="72"/>
    </row>
    <row r="80" spans="1:11">
      <c r="B80" s="72"/>
      <c r="C80" s="72"/>
      <c r="D80" s="73"/>
      <c r="E80" s="72"/>
      <c r="F80" s="72"/>
      <c r="G80" s="72"/>
    </row>
    <row r="81" spans="2:7">
      <c r="B81" s="72"/>
      <c r="C81" s="72"/>
      <c r="D81" s="73"/>
      <c r="E81" s="72"/>
      <c r="F81" s="72"/>
      <c r="G81" s="72"/>
    </row>
    <row r="82" spans="2:7">
      <c r="B82" s="72"/>
      <c r="C82" s="72"/>
      <c r="D82" s="73"/>
      <c r="E82" s="72"/>
      <c r="F82" s="72"/>
      <c r="G82" s="72"/>
    </row>
    <row r="83" spans="2:7">
      <c r="B83" s="72"/>
      <c r="C83" s="72"/>
      <c r="D83" s="73"/>
      <c r="E83" s="72"/>
      <c r="F83" s="72"/>
      <c r="G83" s="72"/>
    </row>
    <row r="84" spans="2:7">
      <c r="B84" s="72"/>
      <c r="C84" s="72"/>
      <c r="D84" s="73"/>
      <c r="E84" s="72"/>
      <c r="F84" s="72"/>
      <c r="G84" s="72"/>
    </row>
    <row r="85" spans="2:7">
      <c r="B85" s="72"/>
      <c r="C85" s="72"/>
      <c r="D85" s="73"/>
      <c r="E85" s="72"/>
      <c r="F85" s="72"/>
      <c r="G85" s="72"/>
    </row>
    <row r="86" spans="2:7">
      <c r="B86" s="72"/>
      <c r="C86" s="72"/>
      <c r="D86" s="73"/>
      <c r="E86" s="72"/>
      <c r="F86" s="72"/>
      <c r="G86" s="72"/>
    </row>
    <row r="87" spans="2:7">
      <c r="B87" s="72"/>
      <c r="C87" s="72"/>
      <c r="D87" s="73"/>
      <c r="E87" s="72"/>
      <c r="F87" s="72"/>
      <c r="G87" s="72"/>
    </row>
    <row r="88" spans="2:7">
      <c r="B88" s="72"/>
      <c r="C88" s="72"/>
      <c r="D88" s="73"/>
      <c r="E88" s="72"/>
      <c r="F88" s="72"/>
      <c r="G88" s="72"/>
    </row>
    <row r="89" spans="2:7">
      <c r="B89" s="72"/>
      <c r="C89" s="72"/>
      <c r="D89" s="73"/>
      <c r="E89" s="72"/>
      <c r="F89" s="72"/>
      <c r="G89" s="72"/>
    </row>
    <row r="90" spans="2:7">
      <c r="B90" s="72"/>
      <c r="C90" s="72"/>
      <c r="D90" s="73"/>
      <c r="E90" s="72"/>
      <c r="F90" s="72"/>
      <c r="G90" s="72"/>
    </row>
    <row r="91" spans="2:7">
      <c r="B91" s="72"/>
      <c r="C91" s="72"/>
      <c r="D91" s="73"/>
      <c r="E91" s="72"/>
      <c r="F91" s="72"/>
      <c r="G91" s="72"/>
    </row>
    <row r="92" spans="2:7">
      <c r="B92" s="72"/>
      <c r="C92" s="72"/>
      <c r="D92" s="73"/>
      <c r="E92" s="72"/>
      <c r="F92" s="72"/>
      <c r="G92" s="72"/>
    </row>
    <row r="93" spans="2:7">
      <c r="B93" s="72"/>
      <c r="C93" s="72"/>
      <c r="D93" s="73"/>
      <c r="E93" s="72"/>
      <c r="F93" s="72"/>
      <c r="G93" s="72"/>
    </row>
    <row r="94" spans="2:7">
      <c r="B94" s="72"/>
      <c r="C94" s="72"/>
      <c r="D94" s="73"/>
      <c r="E94" s="72"/>
      <c r="F94" s="72"/>
      <c r="G94" s="72"/>
    </row>
    <row r="95" spans="2:7">
      <c r="B95" s="72"/>
      <c r="C95" s="72"/>
      <c r="D95" s="73"/>
      <c r="E95" s="72"/>
      <c r="F95" s="72"/>
      <c r="G95" s="72"/>
    </row>
    <row r="96" spans="2:7">
      <c r="B96" s="72"/>
      <c r="C96" s="72"/>
      <c r="D96" s="73"/>
      <c r="E96" s="72"/>
      <c r="F96" s="72"/>
      <c r="G96" s="72"/>
    </row>
    <row r="97" spans="2:7">
      <c r="B97" s="72"/>
      <c r="C97" s="72"/>
      <c r="D97" s="73"/>
      <c r="E97" s="72"/>
      <c r="F97" s="72"/>
      <c r="G97" s="72"/>
    </row>
    <row r="98" spans="2:7">
      <c r="B98" s="72"/>
      <c r="C98" s="72"/>
      <c r="D98" s="73"/>
      <c r="E98" s="72"/>
      <c r="F98" s="72"/>
      <c r="G98" s="72"/>
    </row>
    <row r="99" spans="2:7">
      <c r="B99" s="72"/>
      <c r="C99" s="72"/>
      <c r="D99" s="73"/>
      <c r="E99" s="72"/>
      <c r="F99" s="72"/>
      <c r="G99" s="72"/>
    </row>
    <row r="100" spans="2:7">
      <c r="B100" s="72"/>
      <c r="C100" s="72"/>
      <c r="D100" s="73"/>
      <c r="E100" s="72"/>
      <c r="F100" s="72"/>
      <c r="G100" s="72"/>
    </row>
    <row r="101" spans="2:7">
      <c r="B101" s="72"/>
      <c r="C101" s="72"/>
      <c r="D101" s="73"/>
      <c r="E101" s="72"/>
      <c r="F101" s="72"/>
      <c r="G101" s="72"/>
    </row>
    <row r="102" spans="2:7">
      <c r="B102" s="72"/>
      <c r="C102" s="72"/>
      <c r="D102" s="73"/>
      <c r="E102" s="72"/>
      <c r="F102" s="72"/>
      <c r="G102" s="72"/>
    </row>
    <row r="103" spans="2:7">
      <c r="B103" s="72"/>
      <c r="C103" s="72"/>
      <c r="D103" s="73"/>
      <c r="E103" s="72"/>
      <c r="F103" s="72"/>
      <c r="G103" s="72"/>
    </row>
    <row r="104" spans="2:7">
      <c r="B104" s="72"/>
      <c r="C104" s="72"/>
      <c r="D104" s="73"/>
      <c r="E104" s="72"/>
      <c r="F104" s="72"/>
      <c r="G104" s="72"/>
    </row>
    <row r="105" spans="2:7">
      <c r="B105" s="72"/>
      <c r="C105" s="72"/>
      <c r="D105" s="73"/>
      <c r="E105" s="72"/>
      <c r="F105" s="72"/>
      <c r="G105" s="72"/>
    </row>
  </sheetData>
  <sheetProtection password="ED33" sheet="1" objects="1" scenarios="1"/>
  <mergeCells count="30">
    <mergeCell ref="F15:F52"/>
    <mergeCell ref="B55:G55"/>
    <mergeCell ref="B67:K67"/>
    <mergeCell ref="B68:K68"/>
    <mergeCell ref="A7:B7"/>
    <mergeCell ref="G7:K7"/>
    <mergeCell ref="A8:B8"/>
    <mergeCell ref="G8:K8"/>
    <mergeCell ref="A13:B13"/>
    <mergeCell ref="B14:G14"/>
    <mergeCell ref="A12:B12"/>
    <mergeCell ref="G12:K12"/>
    <mergeCell ref="G1:K1"/>
    <mergeCell ref="A5:B5"/>
    <mergeCell ref="C5:F5"/>
    <mergeCell ref="G5:K5"/>
    <mergeCell ref="A6:B6"/>
    <mergeCell ref="C6:F6"/>
    <mergeCell ref="G6:K6"/>
    <mergeCell ref="A3:K3"/>
    <mergeCell ref="A4:B4"/>
    <mergeCell ref="C4:F4"/>
    <mergeCell ref="G4:K4"/>
    <mergeCell ref="G2:K2"/>
    <mergeCell ref="A9:B9"/>
    <mergeCell ref="G9:K9"/>
    <mergeCell ref="A10:B10"/>
    <mergeCell ref="G10:K10"/>
    <mergeCell ref="A11:B11"/>
    <mergeCell ref="G11:K11"/>
  </mergeCells>
  <pageMargins left="0.55118110236220474" right="0.15748031496062992" top="0.55118110236220474" bottom="0.55118110236220474" header="0.15748031496062992" footer="0.15748031496062992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52+6%</vt:lpstr>
      <vt:lpstr>'52+6%'!Область_печати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cp:lastPrinted>2014-01-17T02:50:52Z</cp:lastPrinted>
  <dcterms:created xsi:type="dcterms:W3CDTF">2013-12-09T02:37:01Z</dcterms:created>
  <dcterms:modified xsi:type="dcterms:W3CDTF">2014-01-17T04:44:20Z</dcterms:modified>
</cp:coreProperties>
</file>